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0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Local Drive Docs\"/>
    </mc:Choice>
  </mc:AlternateContent>
  <bookViews>
    <workbookView xWindow="0" yWindow="0" windowWidth="15330" windowHeight="7650" tabRatio="586" firstSheet="2" activeTab="5"/>
  </bookViews>
  <sheets>
    <sheet name="Dashboard" sheetId="6" r:id="rId1"/>
    <sheet name="Salaries" sheetId="7" r:id="rId2"/>
    <sheet name="Financial Forecasting (Year 1)" sheetId="1" r:id="rId3"/>
    <sheet name="Year 2" sheetId="3" r:id="rId4"/>
    <sheet name="Year 3" sheetId="4" r:id="rId5"/>
    <sheet name="ROI Graph" sheetId="5" r:id="rId6"/>
  </sheets>
  <calcPr calcId="171027"/>
</workbook>
</file>

<file path=xl/calcChain.xml><?xml version="1.0" encoding="utf-8"?>
<calcChain xmlns="http://schemas.openxmlformats.org/spreadsheetml/2006/main">
  <c r="I33" i="4" l="1"/>
  <c r="H19" i="4" l="1"/>
  <c r="H19" i="3"/>
  <c r="P19" i="1"/>
  <c r="D8" i="6" l="1"/>
  <c r="E8" i="6"/>
  <c r="C8" i="6"/>
  <c r="D5" i="7" l="1"/>
  <c r="H5" i="7" s="1"/>
  <c r="D6" i="7"/>
  <c r="H6" i="7" s="1"/>
  <c r="D7" i="7"/>
  <c r="F7" i="7" s="1"/>
  <c r="I7" i="7" s="1"/>
  <c r="D8" i="7"/>
  <c r="F8" i="7" s="1"/>
  <c r="I8" i="7" s="1"/>
  <c r="D9" i="7"/>
  <c r="H9" i="7" s="1"/>
  <c r="D10" i="7"/>
  <c r="F10" i="7" s="1"/>
  <c r="I10" i="7" s="1"/>
  <c r="D11" i="7"/>
  <c r="H11" i="7" s="1"/>
  <c r="D12" i="7"/>
  <c r="F12" i="7" s="1"/>
  <c r="I12" i="7" s="1"/>
  <c r="D13" i="7"/>
  <c r="H13" i="7" s="1"/>
  <c r="D4" i="7"/>
  <c r="F4" i="7" s="1"/>
  <c r="I4" i="7" s="1"/>
  <c r="F6" i="7" l="1"/>
  <c r="I6" i="7" s="1"/>
  <c r="H8" i="7"/>
  <c r="H4" i="7"/>
  <c r="H10" i="7"/>
  <c r="H7" i="7"/>
  <c r="F13" i="7"/>
  <c r="I13" i="7" s="1"/>
  <c r="F11" i="7"/>
  <c r="I11" i="7" s="1"/>
  <c r="H12" i="7"/>
  <c r="F9" i="7"/>
  <c r="I9" i="7" s="1"/>
  <c r="F5" i="7"/>
  <c r="I5" i="7" s="1"/>
  <c r="I8" i="6"/>
  <c r="H8" i="6"/>
  <c r="G8" i="6"/>
  <c r="I16" i="7" l="1"/>
  <c r="H16" i="7"/>
  <c r="E18" i="1"/>
  <c r="F18" i="1" s="1"/>
  <c r="G18" i="1" s="1"/>
  <c r="H18" i="1" s="1"/>
  <c r="I18" i="1" s="1"/>
  <c r="J18" i="1" s="1"/>
  <c r="K18" i="1" s="1"/>
  <c r="L18" i="1" s="1"/>
  <c r="M18" i="1" s="1"/>
  <c r="N18" i="1" s="1"/>
  <c r="O18" i="1" s="1"/>
  <c r="E17" i="1"/>
  <c r="F17" i="1" s="1"/>
  <c r="G17" i="1" s="1"/>
  <c r="H17" i="1" s="1"/>
  <c r="I17" i="1" s="1"/>
  <c r="J17" i="1" s="1"/>
  <c r="K17" i="1" s="1"/>
  <c r="L17" i="1" s="1"/>
  <c r="M17" i="1" s="1"/>
  <c r="N17" i="1" s="1"/>
  <c r="O17" i="1" s="1"/>
  <c r="E5" i="1"/>
  <c r="F5" i="1" s="1"/>
  <c r="G5" i="1" s="1"/>
  <c r="H5" i="1" s="1"/>
  <c r="I5" i="1" s="1"/>
  <c r="J5" i="1" s="1"/>
  <c r="K5" i="1" s="1"/>
  <c r="L5" i="1" s="1"/>
  <c r="M5" i="1" s="1"/>
  <c r="N5" i="1" s="1"/>
  <c r="O5" i="1" s="1"/>
  <c r="D5" i="4" l="1"/>
  <c r="G5" i="4"/>
  <c r="E5" i="4"/>
  <c r="F5" i="4"/>
  <c r="F13" i="4"/>
  <c r="G13" i="3"/>
  <c r="E13" i="1"/>
  <c r="E23" i="1" s="1"/>
  <c r="I13" i="1"/>
  <c r="I23" i="1" s="1"/>
  <c r="M13" i="1"/>
  <c r="M23" i="1" s="1"/>
  <c r="G13" i="4"/>
  <c r="E13" i="3"/>
  <c r="F13" i="1"/>
  <c r="F23" i="1" s="1"/>
  <c r="J13" i="1"/>
  <c r="J23" i="1" s="1"/>
  <c r="N13" i="1"/>
  <c r="N23" i="1" s="1"/>
  <c r="D13" i="4"/>
  <c r="F13" i="3"/>
  <c r="G13" i="1"/>
  <c r="G23" i="1" s="1"/>
  <c r="K13" i="1"/>
  <c r="K23" i="1" s="1"/>
  <c r="O13" i="1"/>
  <c r="O23" i="1" s="1"/>
  <c r="E13" i="4"/>
  <c r="D13" i="3"/>
  <c r="D13" i="1"/>
  <c r="D23" i="1" s="1"/>
  <c r="H13" i="1"/>
  <c r="H23" i="1" s="1"/>
  <c r="L13" i="1"/>
  <c r="L23" i="1" s="1"/>
  <c r="C13" i="1"/>
  <c r="F5" i="3"/>
  <c r="E5" i="3"/>
  <c r="D5" i="3"/>
  <c r="G5" i="3"/>
  <c r="F17" i="4"/>
  <c r="F17" i="3"/>
  <c r="E17" i="4"/>
  <c r="E17" i="3"/>
  <c r="D17" i="4"/>
  <c r="D17" i="3"/>
  <c r="G17" i="4"/>
  <c r="G17" i="3"/>
  <c r="F18" i="4"/>
  <c r="E18" i="3"/>
  <c r="E18" i="4"/>
  <c r="F18" i="3"/>
  <c r="D18" i="4"/>
  <c r="G18" i="3"/>
  <c r="G18" i="4"/>
  <c r="D18" i="3"/>
  <c r="H21" i="4"/>
  <c r="H21" i="3"/>
  <c r="P14" i="1"/>
  <c r="P15" i="1"/>
  <c r="P16" i="1"/>
  <c r="P17" i="1"/>
  <c r="P18" i="1"/>
  <c r="P20" i="1"/>
  <c r="P21" i="1"/>
  <c r="P7" i="1"/>
  <c r="P6" i="1"/>
  <c r="P5" i="1"/>
  <c r="D23" i="4" l="1"/>
  <c r="F23" i="3"/>
  <c r="E23" i="4"/>
  <c r="G23" i="4"/>
  <c r="E23" i="3"/>
  <c r="D23" i="3"/>
  <c r="G23" i="3"/>
  <c r="P13" i="1"/>
  <c r="P23" i="1" s="1"/>
  <c r="C23" i="1"/>
  <c r="F23" i="4"/>
  <c r="H7" i="4"/>
  <c r="H6" i="4"/>
  <c r="H6" i="3"/>
  <c r="H20" i="4"/>
  <c r="H18" i="4"/>
  <c r="H17" i="4"/>
  <c r="H16" i="4"/>
  <c r="H15" i="4"/>
  <c r="H14" i="4"/>
  <c r="H13" i="4"/>
  <c r="G9" i="4"/>
  <c r="F9" i="4"/>
  <c r="E9" i="4"/>
  <c r="D9" i="4"/>
  <c r="H5" i="4"/>
  <c r="H14" i="3"/>
  <c r="H15" i="3"/>
  <c r="H16" i="3"/>
  <c r="H17" i="3"/>
  <c r="H18" i="3"/>
  <c r="H20" i="3"/>
  <c r="H13" i="3"/>
  <c r="H7" i="3"/>
  <c r="H5" i="3"/>
  <c r="G9" i="3"/>
  <c r="F9" i="3"/>
  <c r="E9" i="3"/>
  <c r="D9" i="3"/>
  <c r="C4" i="6" l="1"/>
  <c r="Q23" i="1"/>
  <c r="F26" i="4"/>
  <c r="H23" i="3"/>
  <c r="H23" i="4"/>
  <c r="E26" i="4"/>
  <c r="E26" i="3"/>
  <c r="F26" i="3"/>
  <c r="G26" i="3"/>
  <c r="H9" i="4"/>
  <c r="G26" i="4"/>
  <c r="D26" i="4"/>
  <c r="D26" i="3"/>
  <c r="H9" i="3"/>
  <c r="E4" i="6" l="1"/>
  <c r="I23" i="4"/>
  <c r="I4" i="6" s="1"/>
  <c r="D4" i="6"/>
  <c r="I23" i="3"/>
  <c r="H4" i="6" s="1"/>
  <c r="D3" i="6"/>
  <c r="I9" i="3"/>
  <c r="H3" i="6" s="1"/>
  <c r="E3" i="6"/>
  <c r="I9" i="4"/>
  <c r="I3" i="6" s="1"/>
  <c r="C9" i="4"/>
  <c r="H26" i="3"/>
  <c r="D5" i="6" s="1"/>
  <c r="C23" i="4"/>
  <c r="H26" i="4"/>
  <c r="E5" i="6" s="1"/>
  <c r="C9" i="1"/>
  <c r="I26" i="4" l="1"/>
  <c r="I5" i="6" s="1"/>
  <c r="I26" i="3"/>
  <c r="H5" i="6" s="1"/>
  <c r="C31" i="1"/>
  <c r="B2" i="5" s="1"/>
  <c r="F31" i="4"/>
  <c r="E31" i="4"/>
  <c r="D31" i="4"/>
  <c r="G31" i="4"/>
  <c r="E7" i="6" s="1"/>
  <c r="C26" i="1"/>
  <c r="C27" i="1" s="1"/>
  <c r="F9" i="1"/>
  <c r="G9" i="1"/>
  <c r="E9" i="1"/>
  <c r="D9" i="1"/>
  <c r="D31" i="1" s="1"/>
  <c r="B3" i="5" s="1"/>
  <c r="F31" i="1" l="1"/>
  <c r="B5" i="5" s="1"/>
  <c r="G31" i="1"/>
  <c r="B6" i="5" s="1"/>
  <c r="E31" i="1"/>
  <c r="B4" i="5" s="1"/>
  <c r="B37" i="5"/>
  <c r="B38" i="5"/>
  <c r="B36" i="5"/>
  <c r="B29" i="5"/>
  <c r="B27" i="5"/>
  <c r="B28" i="5"/>
  <c r="B30" i="5"/>
  <c r="B31" i="5"/>
  <c r="B32" i="5"/>
  <c r="B35" i="5"/>
  <c r="B34" i="5"/>
  <c r="B33" i="5"/>
  <c r="C23" i="3"/>
  <c r="E26" i="1"/>
  <c r="P9" i="1"/>
  <c r="G26" i="1"/>
  <c r="H9" i="1" s="1"/>
  <c r="H26" i="1" s="1"/>
  <c r="F26" i="1"/>
  <c r="D26" i="1"/>
  <c r="C3" i="6" l="1"/>
  <c r="Q9" i="1"/>
  <c r="G3" i="6" s="1"/>
  <c r="H31" i="1"/>
  <c r="B7" i="5" s="1"/>
  <c r="D29" i="1"/>
  <c r="E29" i="1" s="1"/>
  <c r="F29" i="1" s="1"/>
  <c r="G29" i="1" s="1"/>
  <c r="H29" i="1" s="1"/>
  <c r="G4" i="6"/>
  <c r="C9" i="3"/>
  <c r="F31" i="3" s="1"/>
  <c r="D27" i="1"/>
  <c r="E27" i="1" s="1"/>
  <c r="F27" i="1" s="1"/>
  <c r="G27" i="1" s="1"/>
  <c r="H27" i="1" s="1"/>
  <c r="I9" i="1"/>
  <c r="E31" i="3" l="1"/>
  <c r="B20" i="5" s="1"/>
  <c r="I31" i="1"/>
  <c r="B8" i="5" s="1"/>
  <c r="D31" i="3"/>
  <c r="B15" i="5" s="1"/>
  <c r="G31" i="3"/>
  <c r="D7" i="6" s="1"/>
  <c r="B23" i="5"/>
  <c r="B22" i="5"/>
  <c r="B21" i="5"/>
  <c r="I31" i="3"/>
  <c r="H7" i="6" s="1"/>
  <c r="Q31" i="1"/>
  <c r="G7" i="6" s="1"/>
  <c r="I31" i="4"/>
  <c r="I7" i="6" s="1"/>
  <c r="Q26" i="1"/>
  <c r="I26" i="1"/>
  <c r="J9" i="1" s="1"/>
  <c r="I27" i="3" l="1"/>
  <c r="G6" i="6"/>
  <c r="G5" i="6"/>
  <c r="Q27" i="1"/>
  <c r="B19" i="5"/>
  <c r="B18" i="5"/>
  <c r="C31" i="4"/>
  <c r="B25" i="5"/>
  <c r="B16" i="5"/>
  <c r="B17" i="5"/>
  <c r="J31" i="1"/>
  <c r="B9" i="5" s="1"/>
  <c r="B26" i="5"/>
  <c r="B24" i="5"/>
  <c r="I29" i="1"/>
  <c r="I27" i="1"/>
  <c r="J26" i="1"/>
  <c r="I27" i="4" l="1"/>
  <c r="I6" i="6" s="1"/>
  <c r="H6" i="6"/>
  <c r="J27" i="1"/>
  <c r="J29" i="1"/>
  <c r="K9" i="1"/>
  <c r="K31" i="1" l="1"/>
  <c r="B10" i="5" s="1"/>
  <c r="K26" i="1"/>
  <c r="K29" i="1" s="1"/>
  <c r="L9" i="1" l="1"/>
  <c r="K27" i="1"/>
  <c r="L31" i="1" l="1"/>
  <c r="B11" i="5" s="1"/>
  <c r="L26" i="1"/>
  <c r="L27" i="1" s="1"/>
  <c r="M9" i="1" l="1"/>
  <c r="L29" i="1"/>
  <c r="M31" i="1" l="1"/>
  <c r="B12" i="5" s="1"/>
  <c r="M26" i="1"/>
  <c r="N9" i="1" l="1"/>
  <c r="N31" i="1" s="1"/>
  <c r="B13" i="5" s="1"/>
  <c r="M27" i="1"/>
  <c r="M29" i="1"/>
  <c r="N26" i="1" l="1"/>
  <c r="O9" i="1" l="1"/>
  <c r="O31" i="1" s="1"/>
  <c r="C7" i="6" s="1"/>
  <c r="N27" i="1"/>
  <c r="N29" i="1"/>
  <c r="B14" i="5" l="1"/>
  <c r="O26" i="1"/>
  <c r="P26" i="1" s="1"/>
  <c r="C5" i="6" s="1"/>
  <c r="C31" i="3"/>
  <c r="O27" i="1" l="1"/>
  <c r="C6" i="6" s="1"/>
  <c r="O29" i="1"/>
  <c r="C27" i="3" l="1"/>
  <c r="D27" i="3"/>
  <c r="E27" i="3" s="1"/>
  <c r="F27" i="3" s="1"/>
  <c r="G27" i="3" s="1"/>
  <c r="D6" i="6" s="1"/>
  <c r="C29" i="3"/>
  <c r="D29" i="3"/>
  <c r="E29" i="3" s="1"/>
  <c r="F29" i="3" s="1"/>
  <c r="G29" i="3" s="1"/>
  <c r="C27" i="4" l="1"/>
  <c r="D27" i="4" s="1"/>
  <c r="E27" i="4" s="1"/>
  <c r="F27" i="4" s="1"/>
  <c r="G27" i="4" s="1"/>
  <c r="E6" i="6" s="1"/>
  <c r="D29" i="4"/>
  <c r="E29" i="4" s="1"/>
  <c r="F29" i="4" s="1"/>
  <c r="G29" i="4" s="1"/>
  <c r="C29" i="4"/>
</calcChain>
</file>

<file path=xl/comments1.xml><?xml version="1.0" encoding="utf-8"?>
<comments xmlns="http://schemas.openxmlformats.org/spreadsheetml/2006/main">
  <authors>
    <author>CADETADMIN</author>
  </authors>
  <commentList>
    <comment ref="B27" authorId="0" shapeId="0">
      <text>
        <r>
          <rPr>
            <b/>
            <sz val="9"/>
            <color indexed="81"/>
            <rFont val="Tahoma"/>
            <family val="2"/>
          </rPr>
          <t>Green boxes indicate when an activity has broke even and is now profitable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CADETADMIN</author>
  </authors>
  <commentList>
    <comment ref="B27" authorId="0" shapeId="0">
      <text>
        <r>
          <rPr>
            <b/>
            <sz val="9"/>
            <color indexed="81"/>
            <rFont val="Tahoma"/>
            <family val="2"/>
          </rPr>
          <t>Green boxes indicate when an activity has broke even and is now profitable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CADETADMIN</author>
  </authors>
  <commentList>
    <comment ref="B27" authorId="0" shapeId="0">
      <text>
        <r>
          <rPr>
            <b/>
            <sz val="9"/>
            <color indexed="81"/>
            <rFont val="Tahoma"/>
            <family val="2"/>
          </rPr>
          <t>Green boxes indicate when an activity has broke even and is now profitable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<sst xmlns="http://schemas.openxmlformats.org/spreadsheetml/2006/main" count="205" uniqueCount="83">
  <si>
    <t>Month 1</t>
  </si>
  <si>
    <t>Month 2</t>
  </si>
  <si>
    <t>Month 3</t>
  </si>
  <si>
    <t>Month 4</t>
  </si>
  <si>
    <t>Month 5</t>
  </si>
  <si>
    <t>Month 6</t>
  </si>
  <si>
    <t>Month 7</t>
  </si>
  <si>
    <t>Month 8</t>
  </si>
  <si>
    <t>Month 9</t>
  </si>
  <si>
    <t>Month 10</t>
  </si>
  <si>
    <t>Month 11</t>
  </si>
  <si>
    <t>Month 12</t>
  </si>
  <si>
    <t>Expenses</t>
  </si>
  <si>
    <t>Revenue</t>
  </si>
  <si>
    <t>Salary</t>
  </si>
  <si>
    <t>Rent</t>
  </si>
  <si>
    <t>Insurance</t>
  </si>
  <si>
    <t>Equipment</t>
  </si>
  <si>
    <t>Food</t>
  </si>
  <si>
    <t>Supplies</t>
  </si>
  <si>
    <t>Utilities</t>
  </si>
  <si>
    <t>Sales</t>
  </si>
  <si>
    <t>Simple Sub-Total</t>
  </si>
  <si>
    <t>Conservative Sub-Total</t>
  </si>
  <si>
    <t>Simple Total Profit</t>
  </si>
  <si>
    <t>Conservative Total Profit</t>
  </si>
  <si>
    <t>Pre-Opening Costs</t>
  </si>
  <si>
    <t>Monthly Profits</t>
  </si>
  <si>
    <t>Cash Reserve</t>
  </si>
  <si>
    <t>Quarter 1</t>
  </si>
  <si>
    <t>Quarter 2</t>
  </si>
  <si>
    <t>Quarter 3</t>
  </si>
  <si>
    <t>Quarter 4</t>
  </si>
  <si>
    <t xml:space="preserve">Appropriated Funding </t>
  </si>
  <si>
    <t>Non-Apprpriated Funding</t>
  </si>
  <si>
    <t>Accumulated Profits</t>
  </si>
  <si>
    <t>Return on Investment</t>
  </si>
  <si>
    <t>Last Year</t>
  </si>
  <si>
    <t>-</t>
  </si>
  <si>
    <t>Pre-Opening Funds</t>
  </si>
  <si>
    <t>Conservative ROI</t>
  </si>
  <si>
    <t>Other</t>
  </si>
  <si>
    <t>Month</t>
  </si>
  <si>
    <t>ROI</t>
  </si>
  <si>
    <t>Year 1</t>
  </si>
  <si>
    <t>Year 2</t>
  </si>
  <si>
    <t>Year 3</t>
  </si>
  <si>
    <t>Annual Profit</t>
  </si>
  <si>
    <t>Accumulated Profit</t>
  </si>
  <si>
    <t>Dashboard</t>
  </si>
  <si>
    <t>Quarterly Profits</t>
  </si>
  <si>
    <t>Fixed Revenues/Expenses</t>
  </si>
  <si>
    <t>Variable Revenues/Expenses</t>
  </si>
  <si>
    <t>Simple</t>
  </si>
  <si>
    <t>Conservative</t>
  </si>
  <si>
    <t>Acc. Profit</t>
  </si>
  <si>
    <t>COGS</t>
  </si>
  <si>
    <t>Employee 1</t>
  </si>
  <si>
    <t>Employee 2</t>
  </si>
  <si>
    <t>Employee 3</t>
  </si>
  <si>
    <t>Employee 4</t>
  </si>
  <si>
    <t>Employee 5</t>
  </si>
  <si>
    <t>Employee 6</t>
  </si>
  <si>
    <t>Employee 7</t>
  </si>
  <si>
    <t>Employee 8</t>
  </si>
  <si>
    <t>Employee 9</t>
  </si>
  <si>
    <t>Employee 10</t>
  </si>
  <si>
    <t>Hours per Month</t>
  </si>
  <si>
    <t>Hourly Rate</t>
  </si>
  <si>
    <t>NAF Salary</t>
  </si>
  <si>
    <t>Monthly Pay Base</t>
  </si>
  <si>
    <t>Monthly Pay w/ Benefits</t>
  </si>
  <si>
    <t>Annual Pay Base</t>
  </si>
  <si>
    <t>Annual Pay w/ Benefits</t>
  </si>
  <si>
    <t>Months Worked</t>
  </si>
  <si>
    <t>Total Monthly Pay</t>
  </si>
  <si>
    <t>Total Annual Pay</t>
  </si>
  <si>
    <t>Annual Growth Rate</t>
  </si>
  <si>
    <t>Monthly Growth Rate</t>
  </si>
  <si>
    <t>Funds Payback</t>
  </si>
  <si>
    <t>Confidence Index</t>
  </si>
  <si>
    <t>Activity Forecasting</t>
  </si>
  <si>
    <t>NPV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</si>
</sst>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8" formatCode="&quot;$&quot;#,##0.00_);[Red]\(&quot;$&quot;#,##0.00\)"/>
    <numFmt numFmtId="44" formatCode="_(&quot;$&quot;* #,##0.00_);_(&quot;$&quot;* \(#,##0.00\);_(&quot;$&quot;* &quot;-&quot;??_);_(@_)"/>
    <numFmt numFmtId="164" formatCode="0.0%"/>
    <numFmt numFmtId="165" formatCode="_(&quot;$&quot;* #,##0_);_(&quot;$&quot;* \(#,##0\);_(&quot;$&quot;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i/>
      <u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8">
    <xf numFmtId="0" fontId="0" fillId="0" borderId="0" xfId="0"/>
    <xf numFmtId="0" fontId="0" fillId="0" borderId="6" xfId="0" applyBorder="1"/>
    <xf numFmtId="0" fontId="0" fillId="0" borderId="0" xfId="0" applyBorder="1"/>
    <xf numFmtId="0" fontId="2" fillId="0" borderId="13" xfId="0" applyFont="1" applyBorder="1"/>
    <xf numFmtId="0" fontId="2" fillId="0" borderId="14" xfId="0" applyFont="1" applyBorder="1"/>
    <xf numFmtId="0" fontId="2" fillId="0" borderId="15" xfId="0" applyFont="1" applyBorder="1"/>
    <xf numFmtId="0" fontId="2" fillId="0" borderId="1" xfId="0" applyFont="1" applyBorder="1"/>
    <xf numFmtId="0" fontId="2" fillId="0" borderId="10" xfId="0" applyFont="1" applyBorder="1"/>
    <xf numFmtId="0" fontId="2" fillId="0" borderId="6" xfId="0" applyFont="1" applyBorder="1"/>
    <xf numFmtId="0" fontId="2" fillId="0" borderId="7" xfId="0" applyFont="1" applyBorder="1"/>
    <xf numFmtId="0" fontId="4" fillId="0" borderId="0" xfId="0" applyFont="1"/>
    <xf numFmtId="0" fontId="2" fillId="0" borderId="0" xfId="0" applyFont="1" applyBorder="1" applyAlignment="1">
      <alignment horizontal="center"/>
    </xf>
    <xf numFmtId="44" fontId="0" fillId="0" borderId="14" xfId="0" applyNumberFormat="1" applyBorder="1"/>
    <xf numFmtId="0" fontId="2" fillId="0" borderId="1" xfId="0" applyFont="1" applyFill="1" applyBorder="1"/>
    <xf numFmtId="0" fontId="2" fillId="0" borderId="0" xfId="0" applyFont="1" applyBorder="1"/>
    <xf numFmtId="0" fontId="2" fillId="0" borderId="13" xfId="0" applyFont="1" applyFill="1" applyBorder="1"/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2" fillId="0" borderId="3" xfId="0" applyFont="1" applyBorder="1" applyAlignment="1">
      <alignment horizontal="center"/>
    </xf>
    <xf numFmtId="44" fontId="0" fillId="0" borderId="0" xfId="0" applyNumberFormat="1" applyBorder="1"/>
    <xf numFmtId="9" fontId="0" fillId="0" borderId="13" xfId="2" applyFont="1" applyBorder="1"/>
    <xf numFmtId="9" fontId="0" fillId="0" borderId="14" xfId="2" applyFont="1" applyBorder="1"/>
    <xf numFmtId="164" fontId="0" fillId="0" borderId="13" xfId="2" applyNumberFormat="1" applyFont="1" applyBorder="1"/>
    <xf numFmtId="164" fontId="0" fillId="0" borderId="14" xfId="2" applyNumberFormat="1" applyFont="1" applyBorder="1"/>
    <xf numFmtId="164" fontId="0" fillId="0" borderId="15" xfId="2" applyNumberFormat="1" applyFont="1" applyBorder="1"/>
    <xf numFmtId="164" fontId="0" fillId="0" borderId="0" xfId="2" applyNumberFormat="1" applyFont="1"/>
    <xf numFmtId="9" fontId="0" fillId="0" borderId="0" xfId="2" applyNumberFormat="1" applyFont="1"/>
    <xf numFmtId="9" fontId="0" fillId="0" borderId="8" xfId="2" applyFont="1" applyBorder="1"/>
    <xf numFmtId="9" fontId="0" fillId="0" borderId="0" xfId="0" applyNumberFormat="1"/>
    <xf numFmtId="165" fontId="0" fillId="0" borderId="0" xfId="0" applyNumberFormat="1"/>
    <xf numFmtId="165" fontId="0" fillId="2" borderId="3" xfId="1" applyNumberFormat="1" applyFont="1" applyFill="1" applyBorder="1"/>
    <xf numFmtId="165" fontId="0" fillId="2" borderId="0" xfId="1" applyNumberFormat="1" applyFont="1" applyFill="1" applyBorder="1"/>
    <xf numFmtId="165" fontId="0" fillId="2" borderId="6" xfId="1" applyNumberFormat="1" applyFont="1" applyFill="1" applyBorder="1"/>
    <xf numFmtId="165" fontId="0" fillId="0" borderId="10" xfId="1" applyNumberFormat="1" applyFont="1" applyBorder="1"/>
    <xf numFmtId="165" fontId="0" fillId="0" borderId="11" xfId="1" applyNumberFormat="1" applyFont="1" applyBorder="1"/>
    <xf numFmtId="165" fontId="0" fillId="0" borderId="12" xfId="1" applyNumberFormat="1" applyFont="1" applyBorder="1"/>
    <xf numFmtId="165" fontId="0" fillId="0" borderId="13" xfId="1" applyNumberFormat="1" applyFont="1" applyBorder="1"/>
    <xf numFmtId="165" fontId="0" fillId="0" borderId="14" xfId="1" applyNumberFormat="1" applyFont="1" applyBorder="1"/>
    <xf numFmtId="165" fontId="0" fillId="0" borderId="15" xfId="1" applyNumberFormat="1" applyFont="1" applyBorder="1"/>
    <xf numFmtId="165" fontId="0" fillId="0" borderId="1" xfId="1" applyNumberFormat="1" applyFont="1" applyFill="1" applyBorder="1"/>
    <xf numFmtId="165" fontId="0" fillId="0" borderId="13" xfId="0" applyNumberFormat="1" applyBorder="1"/>
    <xf numFmtId="165" fontId="0" fillId="0" borderId="14" xfId="0" applyNumberFormat="1" applyBorder="1"/>
    <xf numFmtId="165" fontId="0" fillId="0" borderId="15" xfId="0" applyNumberFormat="1" applyBorder="1"/>
    <xf numFmtId="165" fontId="0" fillId="2" borderId="13" xfId="1" applyNumberFormat="1" applyFont="1" applyFill="1" applyBorder="1"/>
    <xf numFmtId="165" fontId="1" fillId="0" borderId="13" xfId="1" applyNumberFormat="1" applyFont="1" applyBorder="1" applyAlignment="1">
      <alignment horizontal="center"/>
    </xf>
    <xf numFmtId="165" fontId="0" fillId="0" borderId="3" xfId="1" applyNumberFormat="1" applyFont="1" applyBorder="1"/>
    <xf numFmtId="165" fontId="0" fillId="0" borderId="13" xfId="0" applyNumberFormat="1" applyFont="1" applyBorder="1"/>
    <xf numFmtId="165" fontId="0" fillId="0" borderId="13" xfId="0" applyNumberFormat="1" applyFont="1" applyFill="1" applyBorder="1"/>
    <xf numFmtId="165" fontId="0" fillId="2" borderId="9" xfId="1" applyNumberFormat="1" applyFont="1" applyFill="1" applyBorder="1"/>
    <xf numFmtId="165" fontId="0" fillId="2" borderId="7" xfId="1" applyNumberFormat="1" applyFont="1" applyFill="1" applyBorder="1"/>
    <xf numFmtId="0" fontId="0" fillId="0" borderId="0" xfId="0" applyBorder="1"/>
    <xf numFmtId="165" fontId="0" fillId="0" borderId="3" xfId="1" applyNumberFormat="1" applyFont="1" applyFill="1" applyBorder="1"/>
    <xf numFmtId="165" fontId="0" fillId="0" borderId="0" xfId="1" applyNumberFormat="1" applyFont="1" applyFill="1" applyBorder="1"/>
    <xf numFmtId="165" fontId="0" fillId="0" borderId="4" xfId="1" applyNumberFormat="1" applyFont="1" applyFill="1" applyBorder="1"/>
    <xf numFmtId="165" fontId="0" fillId="0" borderId="9" xfId="1" applyNumberFormat="1" applyFont="1" applyFill="1" applyBorder="1"/>
    <xf numFmtId="0" fontId="0" fillId="7" borderId="8" xfId="0" applyFill="1" applyBorder="1"/>
    <xf numFmtId="0" fontId="0" fillId="7" borderId="9" xfId="0" applyFill="1" applyBorder="1"/>
    <xf numFmtId="0" fontId="0" fillId="8" borderId="8" xfId="0" applyFill="1" applyBorder="1"/>
    <xf numFmtId="0" fontId="0" fillId="8" borderId="9" xfId="0" applyFill="1" applyBorder="1"/>
    <xf numFmtId="165" fontId="0" fillId="0" borderId="9" xfId="1" applyNumberFormat="1" applyFont="1" applyBorder="1"/>
    <xf numFmtId="0" fontId="9" fillId="8" borderId="0" xfId="0" applyFont="1" applyFill="1" applyBorder="1"/>
    <xf numFmtId="0" fontId="9" fillId="7" borderId="0" xfId="0" applyFont="1" applyFill="1" applyBorder="1"/>
    <xf numFmtId="165" fontId="11" fillId="3" borderId="11" xfId="0" applyNumberFormat="1" applyFont="1" applyFill="1" applyBorder="1"/>
    <xf numFmtId="165" fontId="11" fillId="3" borderId="16" xfId="0" applyNumberFormat="1" applyFont="1" applyFill="1" applyBorder="1"/>
    <xf numFmtId="0" fontId="8" fillId="5" borderId="17" xfId="0" applyFont="1" applyFill="1" applyBorder="1"/>
    <xf numFmtId="165" fontId="11" fillId="6" borderId="11" xfId="0" applyNumberFormat="1" applyFont="1" applyFill="1" applyBorder="1"/>
    <xf numFmtId="165" fontId="11" fillId="6" borderId="16" xfId="0" applyNumberFormat="1" applyFont="1" applyFill="1" applyBorder="1"/>
    <xf numFmtId="0" fontId="8" fillId="5" borderId="12" xfId="0" applyFont="1" applyFill="1" applyBorder="1"/>
    <xf numFmtId="0" fontId="8" fillId="5" borderId="18" xfId="0" applyFont="1" applyFill="1" applyBorder="1"/>
    <xf numFmtId="0" fontId="8" fillId="5" borderId="7" xfId="0" applyFont="1" applyFill="1" applyBorder="1"/>
    <xf numFmtId="0" fontId="8" fillId="4" borderId="3" xfId="0" applyFont="1" applyFill="1" applyBorder="1"/>
    <xf numFmtId="0" fontId="0" fillId="4" borderId="2" xfId="0" applyFill="1" applyBorder="1"/>
    <xf numFmtId="165" fontId="0" fillId="0" borderId="1" xfId="0" applyNumberFormat="1" applyBorder="1"/>
    <xf numFmtId="0" fontId="3" fillId="0" borderId="19" xfId="0" applyFont="1" applyBorder="1"/>
    <xf numFmtId="165" fontId="0" fillId="0" borderId="20" xfId="1" applyNumberFormat="1" applyFont="1" applyBorder="1"/>
    <xf numFmtId="0" fontId="7" fillId="0" borderId="19" xfId="0" applyFont="1" applyBorder="1"/>
    <xf numFmtId="164" fontId="0" fillId="0" borderId="20" xfId="2" applyNumberFormat="1" applyFont="1" applyBorder="1"/>
    <xf numFmtId="165" fontId="0" fillId="0" borderId="21" xfId="1" applyNumberFormat="1" applyFont="1" applyBorder="1"/>
    <xf numFmtId="9" fontId="0" fillId="0" borderId="20" xfId="2" applyFont="1" applyBorder="1"/>
    <xf numFmtId="165" fontId="0" fillId="0" borderId="12" xfId="0" applyNumberFormat="1" applyBorder="1"/>
    <xf numFmtId="164" fontId="11" fillId="3" borderId="11" xfId="2" applyNumberFormat="1" applyFont="1" applyFill="1" applyBorder="1"/>
    <xf numFmtId="164" fontId="11" fillId="3" borderId="16" xfId="0" applyNumberFormat="1" applyFont="1" applyFill="1" applyBorder="1"/>
    <xf numFmtId="0" fontId="0" fillId="0" borderId="0" xfId="0" applyBorder="1" applyAlignment="1"/>
    <xf numFmtId="0" fontId="0" fillId="2" borderId="0" xfId="0" applyFill="1" applyBorder="1"/>
    <xf numFmtId="0" fontId="2" fillId="0" borderId="2" xfId="0" applyFont="1" applyBorder="1"/>
    <xf numFmtId="0" fontId="2" fillId="0" borderId="8" xfId="0" applyFont="1" applyBorder="1"/>
    <xf numFmtId="0" fontId="2" fillId="0" borderId="5" xfId="0" applyFont="1" applyBorder="1"/>
    <xf numFmtId="0" fontId="2" fillId="0" borderId="3" xfId="0" applyFont="1" applyBorder="1"/>
    <xf numFmtId="0" fontId="2" fillId="0" borderId="4" xfId="0" applyFont="1" applyBorder="1"/>
    <xf numFmtId="0" fontId="0" fillId="2" borderId="3" xfId="0" applyFill="1" applyBorder="1"/>
    <xf numFmtId="0" fontId="0" fillId="2" borderId="6" xfId="0" applyFill="1" applyBorder="1"/>
    <xf numFmtId="0" fontId="0" fillId="2" borderId="2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44" fontId="0" fillId="2" borderId="3" xfId="1" applyFont="1" applyFill="1" applyBorder="1"/>
    <xf numFmtId="44" fontId="0" fillId="0" borderId="3" xfId="1" applyFont="1" applyBorder="1"/>
    <xf numFmtId="44" fontId="0" fillId="2" borderId="0" xfId="1" applyFont="1" applyFill="1" applyBorder="1"/>
    <xf numFmtId="44" fontId="0" fillId="0" borderId="0" xfId="1" applyFont="1" applyBorder="1"/>
    <xf numFmtId="44" fontId="0" fillId="2" borderId="6" xfId="1" applyFont="1" applyFill="1" applyBorder="1"/>
    <xf numFmtId="44" fontId="0" fillId="0" borderId="6" xfId="1" applyFont="1" applyBorder="1"/>
    <xf numFmtId="44" fontId="0" fillId="0" borderId="4" xfId="1" applyFont="1" applyBorder="1"/>
    <xf numFmtId="44" fontId="0" fillId="0" borderId="9" xfId="1" applyFont="1" applyBorder="1"/>
    <xf numFmtId="44" fontId="0" fillId="0" borderId="7" xfId="1" applyFont="1" applyBorder="1"/>
    <xf numFmtId="44" fontId="0" fillId="0" borderId="2" xfId="1" applyFont="1" applyBorder="1"/>
    <xf numFmtId="44" fontId="0" fillId="0" borderId="8" xfId="1" applyFont="1" applyBorder="1"/>
    <xf numFmtId="44" fontId="0" fillId="0" borderId="5" xfId="1" applyFont="1" applyBorder="1"/>
    <xf numFmtId="0" fontId="0" fillId="2" borderId="5" xfId="0" applyFill="1" applyBorder="1" applyAlignment="1">
      <alignment horizontal="center"/>
    </xf>
    <xf numFmtId="44" fontId="0" fillId="0" borderId="13" xfId="0" applyNumberFormat="1" applyBorder="1"/>
    <xf numFmtId="44" fontId="0" fillId="0" borderId="15" xfId="0" applyNumberFormat="1" applyBorder="1"/>
    <xf numFmtId="0" fontId="8" fillId="5" borderId="22" xfId="0" applyFont="1" applyFill="1" applyBorder="1"/>
    <xf numFmtId="10" fontId="11" fillId="6" borderId="11" xfId="2" applyNumberFormat="1" applyFont="1" applyFill="1" applyBorder="1"/>
    <xf numFmtId="10" fontId="11" fillId="6" borderId="16" xfId="2" applyNumberFormat="1" applyFont="1" applyFill="1" applyBorder="1"/>
    <xf numFmtId="44" fontId="0" fillId="0" borderId="1" xfId="1" applyNumberFormat="1" applyFont="1" applyBorder="1"/>
    <xf numFmtId="44" fontId="0" fillId="0" borderId="1" xfId="1" applyFont="1" applyBorder="1"/>
    <xf numFmtId="0" fontId="8" fillId="5" borderId="0" xfId="0" applyFont="1" applyFill="1" applyBorder="1"/>
    <xf numFmtId="0" fontId="8" fillId="5" borderId="9" xfId="0" applyFont="1" applyFill="1" applyBorder="1"/>
    <xf numFmtId="164" fontId="8" fillId="5" borderId="9" xfId="0" applyNumberFormat="1" applyFont="1" applyFill="1" applyBorder="1"/>
    <xf numFmtId="0" fontId="10" fillId="4" borderId="11" xfId="0" applyFont="1" applyFill="1" applyBorder="1"/>
    <xf numFmtId="0" fontId="8" fillId="5" borderId="11" xfId="0" applyFont="1" applyFill="1" applyBorder="1"/>
    <xf numFmtId="0" fontId="8" fillId="5" borderId="23" xfId="0" applyFont="1" applyFill="1" applyBorder="1"/>
    <xf numFmtId="165" fontId="11" fillId="3" borderId="24" xfId="0" applyNumberFormat="1" applyFont="1" applyFill="1" applyBorder="1"/>
    <xf numFmtId="165" fontId="11" fillId="3" borderId="25" xfId="0" applyNumberFormat="1" applyFont="1" applyFill="1" applyBorder="1"/>
    <xf numFmtId="10" fontId="11" fillId="6" borderId="26" xfId="2" applyNumberFormat="1" applyFont="1" applyFill="1" applyBorder="1"/>
    <xf numFmtId="164" fontId="11" fillId="2" borderId="16" xfId="2" applyNumberFormat="1" applyFont="1" applyFill="1" applyBorder="1"/>
    <xf numFmtId="0" fontId="8" fillId="5" borderId="27" xfId="0" applyFont="1" applyFill="1" applyBorder="1"/>
    <xf numFmtId="164" fontId="11" fillId="2" borderId="11" xfId="2" applyNumberFormat="1" applyFont="1" applyFill="1" applyBorder="1"/>
    <xf numFmtId="164" fontId="11" fillId="3" borderId="29" xfId="2" applyNumberFormat="1" applyFont="1" applyFill="1" applyBorder="1"/>
    <xf numFmtId="164" fontId="11" fillId="3" borderId="28" xfId="2" applyNumberFormat="1" applyFont="1" applyFill="1" applyBorder="1"/>
    <xf numFmtId="9" fontId="11" fillId="2" borderId="30" xfId="2" applyFont="1" applyFill="1" applyBorder="1"/>
    <xf numFmtId="164" fontId="11" fillId="9" borderId="22" xfId="2" applyNumberFormat="1" applyFont="1" applyFill="1" applyBorder="1"/>
    <xf numFmtId="164" fontId="11" fillId="9" borderId="0" xfId="0" applyNumberFormat="1" applyFont="1" applyFill="1" applyBorder="1"/>
    <xf numFmtId="0" fontId="8" fillId="5" borderId="31" xfId="0" applyFont="1" applyFill="1" applyBorder="1"/>
    <xf numFmtId="8" fontId="2" fillId="0" borderId="32" xfId="0" applyNumberFormat="1" applyFont="1" applyBorder="1"/>
    <xf numFmtId="0" fontId="8" fillId="4" borderId="14" xfId="0" applyFont="1" applyFill="1" applyBorder="1" applyAlignment="1">
      <alignment horizontal="center"/>
    </xf>
    <xf numFmtId="0" fontId="8" fillId="4" borderId="15" xfId="0" applyFont="1" applyFill="1" applyBorder="1" applyAlignment="1">
      <alignment horizontal="center"/>
    </xf>
    <xf numFmtId="0" fontId="0" fillId="8" borderId="5" xfId="0" applyFill="1" applyBorder="1" applyAlignment="1">
      <alignment horizontal="left"/>
    </xf>
    <xf numFmtId="0" fontId="0" fillId="8" borderId="7" xfId="0" applyFill="1" applyBorder="1" applyAlignment="1">
      <alignment horizontal="left"/>
    </xf>
    <xf numFmtId="0" fontId="2" fillId="0" borderId="13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8" borderId="2" xfId="0" applyFill="1" applyBorder="1"/>
    <xf numFmtId="0" fontId="0" fillId="8" borderId="4" xfId="0" applyFill="1" applyBorder="1"/>
    <xf numFmtId="0" fontId="0" fillId="8" borderId="8" xfId="0" applyFill="1" applyBorder="1"/>
    <xf numFmtId="0" fontId="0" fillId="8" borderId="9" xfId="0" applyFill="1" applyBorder="1"/>
    <xf numFmtId="0" fontId="0" fillId="7" borderId="8" xfId="0" applyFill="1" applyBorder="1"/>
    <xf numFmtId="0" fontId="0" fillId="7" borderId="9" xfId="0" applyFill="1" applyBorder="1"/>
    <xf numFmtId="0" fontId="0" fillId="7" borderId="2" xfId="0" applyFill="1" applyBorder="1"/>
    <xf numFmtId="0" fontId="0" fillId="7" borderId="4" xfId="0" applyFill="1" applyBorder="1"/>
    <xf numFmtId="0" fontId="0" fillId="8" borderId="5" xfId="0" applyFill="1" applyBorder="1"/>
    <xf numFmtId="0" fontId="0" fillId="8" borderId="7" xfId="0" applyFill="1" applyBorder="1"/>
    <xf numFmtId="0" fontId="12" fillId="8" borderId="8" xfId="0" applyFont="1" applyFill="1" applyBorder="1" applyAlignment="1">
      <alignment horizontal="left"/>
    </xf>
    <xf numFmtId="0" fontId="12" fillId="8" borderId="9" xfId="0" applyFont="1" applyFill="1" applyBorder="1" applyAlignment="1">
      <alignment horizontal="left"/>
    </xf>
    <xf numFmtId="0" fontId="2" fillId="0" borderId="14" xfId="0" applyFont="1" applyBorder="1" applyAlignment="1">
      <alignment horizontal="center"/>
    </xf>
    <xf numFmtId="0" fontId="2" fillId="0" borderId="3" xfId="0" applyFont="1" applyBorder="1" applyAlignment="1">
      <alignment horizontal="center"/>
    </xf>
  </cellXfs>
  <cellStyles count="3">
    <cellStyle name="Currency" xfId="1" builtinId="4"/>
    <cellStyle name="Normal" xfId="0" builtinId="0"/>
    <cellStyle name="Percent" xfId="2" builtinId="5"/>
  </cellStyles>
  <dxfs count="21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ill>
        <patternFill>
          <bgColor rgb="FFFFC7CE"/>
        </patternFill>
      </fill>
    </dxf>
    <dxf>
      <fill>
        <patternFill>
          <bgColor theme="6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ill>
        <patternFill>
          <bgColor rgb="FFFFC7CE"/>
        </patternFill>
      </fill>
    </dxf>
    <dxf>
      <fill>
        <patternFill>
          <bgColor theme="6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ill>
        <patternFill>
          <bgColor rgb="FFFFC7CE"/>
        </patternFill>
      </fill>
    </dxf>
    <dxf>
      <fill>
        <patternFill>
          <bgColor theme="6" tint="0.39994506668294322"/>
        </patternFill>
      </fill>
    </dxf>
  </dxfs>
  <tableStyles count="0" defaultTableStyle="TableStyleMedium2" defaultPivotStyle="PivotStyleLight16"/>
  <colors>
    <mruColors>
      <color rgb="FFFFFF66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Simple ROI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'ROI Graph'!$B$1</c:f>
              <c:strCache>
                <c:ptCount val="1"/>
                <c:pt idx="0">
                  <c:v>ROI</c:v>
                </c:pt>
              </c:strCache>
            </c:strRef>
          </c:tx>
          <c:marker>
            <c:symbol val="none"/>
          </c:marker>
          <c:val>
            <c:numRef>
              <c:f>'ROI Graph'!$B$2:$B$38</c:f>
              <c:numCache>
                <c:formatCode>0%</c:formatCode>
                <c:ptCount val="37"/>
                <c:pt idx="0">
                  <c:v>-0.9822983785314735</c:v>
                </c:pt>
                <c:pt idx="1">
                  <c:v>-0.49072256037698797</c:v>
                </c:pt>
                <c:pt idx="2">
                  <c:v>-0.31525829872843303</c:v>
                </c:pt>
                <c:pt idx="3">
                  <c:v>-0.22321761919608274</c:v>
                </c:pt>
                <c:pt idx="4">
                  <c:v>-0.16527280302065553</c:v>
                </c:pt>
                <c:pt idx="5">
                  <c:v>-0.1342192513396947</c:v>
                </c:pt>
                <c:pt idx="6">
                  <c:v>-0.11125229976317501</c:v>
                </c:pt>
                <c:pt idx="7">
                  <c:v>-9.3965298872565189E-2</c:v>
                </c:pt>
                <c:pt idx="8">
                  <c:v>-7.9809337503038771E-2</c:v>
                </c:pt>
                <c:pt idx="9">
                  <c:v>-7.1293330761151338E-2</c:v>
                </c:pt>
                <c:pt idx="10">
                  <c:v>-6.3747667733124305E-2</c:v>
                </c:pt>
                <c:pt idx="11">
                  <c:v>-5.7399176341232351E-2</c:v>
                </c:pt>
                <c:pt idx="12">
                  <c:v>-5.1516646269763308E-2</c:v>
                </c:pt>
                <c:pt idx="13">
                  <c:v>-3.7810798548256488E-2</c:v>
                </c:pt>
                <c:pt idx="14">
                  <c:v>-3.7810798548256488E-2</c:v>
                </c:pt>
                <c:pt idx="15">
                  <c:v>-3.7810798548256488E-2</c:v>
                </c:pt>
                <c:pt idx="16">
                  <c:v>-2.6863638071588099E-2</c:v>
                </c:pt>
                <c:pt idx="17">
                  <c:v>-2.6863638071588099E-2</c:v>
                </c:pt>
                <c:pt idx="18">
                  <c:v>-2.6863638071588099E-2</c:v>
                </c:pt>
                <c:pt idx="19">
                  <c:v>-8.4954594152883058E-3</c:v>
                </c:pt>
                <c:pt idx="20">
                  <c:v>-8.4954594152883058E-3</c:v>
                </c:pt>
                <c:pt idx="21">
                  <c:v>-8.4954594152883058E-3</c:v>
                </c:pt>
                <c:pt idx="22">
                  <c:v>9.4102098318300364E-3</c:v>
                </c:pt>
                <c:pt idx="23">
                  <c:v>9.4102098318300364E-3</c:v>
                </c:pt>
                <c:pt idx="24">
                  <c:v>9.4102098318300364E-3</c:v>
                </c:pt>
                <c:pt idx="25">
                  <c:v>8.7137518958106452E-2</c:v>
                </c:pt>
                <c:pt idx="26">
                  <c:v>8.7137518958106452E-2</c:v>
                </c:pt>
                <c:pt idx="27">
                  <c:v>8.7137518958106452E-2</c:v>
                </c:pt>
                <c:pt idx="28">
                  <c:v>9.6297857990063518E-2</c:v>
                </c:pt>
                <c:pt idx="29">
                  <c:v>9.6297857990063518E-2</c:v>
                </c:pt>
                <c:pt idx="30">
                  <c:v>9.6297857990063518E-2</c:v>
                </c:pt>
                <c:pt idx="31">
                  <c:v>0.10266165478760801</c:v>
                </c:pt>
                <c:pt idx="32">
                  <c:v>0.10266165478760801</c:v>
                </c:pt>
                <c:pt idx="33">
                  <c:v>0.10266165478760801</c:v>
                </c:pt>
                <c:pt idx="34">
                  <c:v>0.10840554935212789</c:v>
                </c:pt>
                <c:pt idx="35">
                  <c:v>0.10840554935212789</c:v>
                </c:pt>
                <c:pt idx="36">
                  <c:v>0.10840554935212789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D9A-4289-ABE4-7C3E38C541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8365824"/>
        <c:axId val="98367744"/>
      </c:lineChart>
      <c:catAx>
        <c:axId val="98365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Months</a:t>
                </a:r>
              </a:p>
            </c:rich>
          </c:tx>
          <c:overlay val="0"/>
        </c:title>
        <c:majorTickMark val="out"/>
        <c:minorTickMark val="none"/>
        <c:tickLblPos val="nextTo"/>
        <c:crossAx val="98367744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98367744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9836582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211666</xdr:colOff>
      <xdr:row>0</xdr:row>
      <xdr:rowOff>0</xdr:rowOff>
    </xdr:from>
    <xdr:to>
      <xdr:col>19</xdr:col>
      <xdr:colOff>45507</xdr:colOff>
      <xdr:row>27</xdr:row>
      <xdr:rowOff>84667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5"/>
  <sheetViews>
    <sheetView showGridLines="0" topLeftCell="C1" zoomScale="125" zoomScaleNormal="125" workbookViewId="0">
      <selection activeCell="J15" sqref="J15"/>
    </sheetView>
  </sheetViews>
  <sheetFormatPr defaultRowHeight="15" x14ac:dyDescent="0.25"/>
  <cols>
    <col min="1" max="1" width="1.28515625" customWidth="1"/>
    <col min="2" max="2" width="28.5703125" customWidth="1"/>
    <col min="3" max="3" width="15.85546875" customWidth="1"/>
    <col min="4" max="4" width="15.7109375" customWidth="1"/>
    <col min="5" max="5" width="15.85546875" customWidth="1"/>
    <col min="6" max="6" width="29.28515625" customWidth="1"/>
    <col min="7" max="8" width="15.85546875" customWidth="1"/>
    <col min="9" max="9" width="18.42578125" customWidth="1"/>
  </cols>
  <sheetData>
    <row r="1" spans="2:10" ht="20.25" customHeight="1" x14ac:dyDescent="0.35">
      <c r="B1" s="75"/>
      <c r="C1" s="136" t="s">
        <v>53</v>
      </c>
      <c r="D1" s="136"/>
      <c r="E1" s="136"/>
      <c r="F1" s="74"/>
      <c r="G1" s="136" t="s">
        <v>54</v>
      </c>
      <c r="H1" s="136"/>
      <c r="I1" s="137"/>
    </row>
    <row r="2" spans="2:10" ht="33.75" customHeight="1" thickBot="1" x14ac:dyDescent="0.4">
      <c r="B2" s="120" t="s">
        <v>49</v>
      </c>
      <c r="C2" s="118" t="s">
        <v>44</v>
      </c>
      <c r="D2" s="121" t="s">
        <v>45</v>
      </c>
      <c r="E2" s="117" t="s">
        <v>46</v>
      </c>
      <c r="F2" s="120" t="s">
        <v>49</v>
      </c>
      <c r="G2" s="73" t="s">
        <v>44</v>
      </c>
      <c r="H2" s="71" t="s">
        <v>45</v>
      </c>
      <c r="I2" s="72" t="s">
        <v>46</v>
      </c>
    </row>
    <row r="3" spans="2:10" ht="36" customHeight="1" x14ac:dyDescent="0.35">
      <c r="B3" s="122" t="s">
        <v>13</v>
      </c>
      <c r="C3" s="123">
        <f>'Financial Forecasting (Year 1)'!P9</f>
        <v>20036.168786585538</v>
      </c>
      <c r="D3" s="123">
        <f>'Year 2'!H9</f>
        <v>20963.704535253913</v>
      </c>
      <c r="E3" s="124">
        <f>'Year 3'!H9</f>
        <v>21207.733401072575</v>
      </c>
      <c r="F3" s="118" t="s">
        <v>13</v>
      </c>
      <c r="G3" s="66">
        <f>'Financial Forecasting (Year 1)'!Q9</f>
        <v>18032.551907926983</v>
      </c>
      <c r="H3" s="66">
        <f>'Year 2'!I9</f>
        <v>18867.334081728524</v>
      </c>
      <c r="I3" s="67">
        <f>'Year 3'!I9</f>
        <v>19086.960060965317</v>
      </c>
    </row>
    <row r="4" spans="2:10" ht="33.75" customHeight="1" x14ac:dyDescent="0.35">
      <c r="B4" s="68" t="s">
        <v>12</v>
      </c>
      <c r="C4" s="69">
        <f>'Financial Forecasting (Year 1)'!P23</f>
        <v>21124.428497122717</v>
      </c>
      <c r="D4" s="69">
        <f>'Year 2'!H23</f>
        <v>19493.22419005401</v>
      </c>
      <c r="E4" s="70">
        <f>'Year 3'!H23</f>
        <v>18553.71446067364</v>
      </c>
      <c r="F4" s="118" t="s">
        <v>12</v>
      </c>
      <c r="G4" s="69">
        <f>'Financial Forecasting (Year 1)'!Q23</f>
        <v>23236.871346834992</v>
      </c>
      <c r="H4" s="69">
        <f>'Year 2'!I23</f>
        <v>21442.546609059413</v>
      </c>
      <c r="I4" s="70">
        <f>'Year 3'!I23</f>
        <v>20409.085906741006</v>
      </c>
    </row>
    <row r="5" spans="2:10" ht="31.5" customHeight="1" x14ac:dyDescent="0.35">
      <c r="B5" s="68" t="s">
        <v>47</v>
      </c>
      <c r="C5" s="66">
        <f>'Financial Forecasting (Year 1)'!P26</f>
        <v>-1088.2597105371744</v>
      </c>
      <c r="D5" s="66">
        <f>'Year 2'!H26</f>
        <v>1470.4803451999032</v>
      </c>
      <c r="E5" s="67">
        <f>'Year 3'!H26</f>
        <v>2654.0189403989352</v>
      </c>
      <c r="F5" s="118" t="s">
        <v>47</v>
      </c>
      <c r="G5" s="66">
        <f>'Financial Forecasting (Year 1)'!Q26</f>
        <v>-5204.319438908009</v>
      </c>
      <c r="H5" s="66">
        <f>'Year 2'!I26</f>
        <v>-2575.2125273308884</v>
      </c>
      <c r="I5" s="67">
        <f>'Year 3'!I26</f>
        <v>-1322.1258457756885</v>
      </c>
    </row>
    <row r="6" spans="2:10" ht="32.25" customHeight="1" x14ac:dyDescent="0.35">
      <c r="B6" s="68" t="s">
        <v>48</v>
      </c>
      <c r="C6" s="69">
        <f>'Financial Forecasting (Year 1)'!O27</f>
        <v>-1088.2597105371744</v>
      </c>
      <c r="D6" s="69">
        <f>'Year 2'!G27</f>
        <v>382.2206346627288</v>
      </c>
      <c r="E6" s="70">
        <f>'Year 3'!G27</f>
        <v>3036.2395750616643</v>
      </c>
      <c r="F6" s="118" t="s">
        <v>55</v>
      </c>
      <c r="G6" s="69">
        <f>'Financial Forecasting (Year 1)'!Q26</f>
        <v>-5204.319438908009</v>
      </c>
      <c r="H6" s="69">
        <f>'Year 2'!I27</f>
        <v>-7779.5319662388974</v>
      </c>
      <c r="I6" s="70">
        <f>'Year 3'!I27</f>
        <v>-9101.6578120145859</v>
      </c>
    </row>
    <row r="7" spans="2:10" ht="32.25" customHeight="1" x14ac:dyDescent="0.35">
      <c r="B7" s="68" t="s">
        <v>43</v>
      </c>
      <c r="C7" s="84">
        <f>'Financial Forecasting (Year 1)'!O31</f>
        <v>-5.1516646269763308E-2</v>
      </c>
      <c r="D7" s="84">
        <f>'Year 2'!G31</f>
        <v>9.4102098318300364E-3</v>
      </c>
      <c r="E7" s="85">
        <f>'Year 3'!G31</f>
        <v>0.10840554935212789</v>
      </c>
      <c r="F7" s="119" t="s">
        <v>43</v>
      </c>
      <c r="G7" s="84">
        <f>'Financial Forecasting (Year 1)'!Q31</f>
        <v>-0.22396816512980652</v>
      </c>
      <c r="H7" s="84">
        <f>'Year 2'!I31</f>
        <v>-0.17411891922850278</v>
      </c>
      <c r="I7" s="85">
        <f>'Year 3'!I31</f>
        <v>-0.13983510561593149</v>
      </c>
    </row>
    <row r="8" spans="2:10" s="54" customFormat="1" ht="21" hidden="1" x14ac:dyDescent="0.35">
      <c r="B8" s="112" t="s">
        <v>78</v>
      </c>
      <c r="C8" s="113">
        <f>C9/12</f>
        <v>4.1666666666666666E-3</v>
      </c>
      <c r="D8" s="113">
        <f t="shared" ref="D8:E8" si="0">D9/12</f>
        <v>2.9166666666666668E-3</v>
      </c>
      <c r="E8" s="125">
        <f t="shared" si="0"/>
        <v>1.6666666666666668E-3</v>
      </c>
      <c r="F8" s="117" t="s">
        <v>78</v>
      </c>
      <c r="G8" s="113">
        <f>C8</f>
        <v>4.1666666666666666E-3</v>
      </c>
      <c r="H8" s="113">
        <f>D8</f>
        <v>2.9166666666666668E-3</v>
      </c>
      <c r="I8" s="114">
        <f>E8</f>
        <v>1.6666666666666668E-3</v>
      </c>
    </row>
    <row r="9" spans="2:10" ht="21.75" thickBot="1" x14ac:dyDescent="0.4">
      <c r="B9" s="112" t="s">
        <v>77</v>
      </c>
      <c r="C9" s="128">
        <v>0.05</v>
      </c>
      <c r="D9" s="128">
        <v>3.5000000000000003E-2</v>
      </c>
      <c r="E9" s="126">
        <v>0.02</v>
      </c>
      <c r="F9" s="127" t="s">
        <v>77</v>
      </c>
      <c r="G9" s="129">
        <v>0.05</v>
      </c>
      <c r="H9" s="129">
        <v>3.5000000000000003E-2</v>
      </c>
      <c r="I9" s="130">
        <v>0.02</v>
      </c>
    </row>
    <row r="10" spans="2:10" ht="7.5" customHeight="1" thickBot="1" x14ac:dyDescent="0.3"/>
    <row r="11" spans="2:10" ht="24.75" customHeight="1" thickBot="1" x14ac:dyDescent="0.4">
      <c r="F11" s="134" t="s">
        <v>80</v>
      </c>
      <c r="G11" s="131">
        <v>0.9</v>
      </c>
      <c r="H11" s="132"/>
      <c r="I11" s="133"/>
      <c r="J11" s="54"/>
    </row>
    <row r="12" spans="2:10" ht="12.75" customHeight="1" x14ac:dyDescent="0.25">
      <c r="H12" s="54"/>
      <c r="I12" s="54"/>
    </row>
    <row r="13" spans="2:10" ht="15.75" x14ac:dyDescent="0.25">
      <c r="B13" s="64" t="s">
        <v>51</v>
      </c>
    </row>
    <row r="14" spans="2:10" ht="15.75" x14ac:dyDescent="0.25">
      <c r="B14" s="65" t="s">
        <v>52</v>
      </c>
    </row>
    <row r="15" spans="2:10" x14ac:dyDescent="0.25">
      <c r="G15" s="32"/>
    </row>
  </sheetData>
  <mergeCells count="2">
    <mergeCell ref="C1:E1"/>
    <mergeCell ref="G1:I1"/>
  </mergeCells>
  <pageMargins left="0.7" right="0.7" top="0.75" bottom="0.75" header="0.3" footer="0.3"/>
  <pageSetup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6"/>
  <sheetViews>
    <sheetView topLeftCell="D1" workbookViewId="0">
      <selection activeCell="D4" sqref="D4"/>
    </sheetView>
  </sheetViews>
  <sheetFormatPr defaultRowHeight="15" x14ac:dyDescent="0.25"/>
  <cols>
    <col min="1" max="1" width="18.140625" customWidth="1"/>
    <col min="2" max="2" width="16.7109375" customWidth="1"/>
    <col min="3" max="3" width="12.140625" customWidth="1"/>
    <col min="4" max="4" width="18.85546875" customWidth="1"/>
    <col min="5" max="5" width="16.28515625" customWidth="1"/>
    <col min="6" max="6" width="16.140625" customWidth="1"/>
    <col min="7" max="7" width="5.28515625" customWidth="1"/>
    <col min="8" max="8" width="23.7109375" customWidth="1"/>
    <col min="9" max="9" width="22.42578125" customWidth="1"/>
  </cols>
  <sheetData>
    <row r="1" spans="1:25" ht="23.25" x14ac:dyDescent="0.35">
      <c r="A1" s="10" t="s">
        <v>69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</row>
    <row r="2" spans="1:25" x14ac:dyDescent="0.25">
      <c r="B2" s="54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54"/>
    </row>
    <row r="3" spans="1:25" x14ac:dyDescent="0.25">
      <c r="B3" s="88" t="s">
        <v>67</v>
      </c>
      <c r="C3" s="91" t="s">
        <v>68</v>
      </c>
      <c r="D3" s="91" t="s">
        <v>70</v>
      </c>
      <c r="E3" s="91" t="s">
        <v>74</v>
      </c>
      <c r="F3" s="92" t="s">
        <v>72</v>
      </c>
      <c r="G3" s="14"/>
      <c r="H3" s="3" t="s">
        <v>71</v>
      </c>
      <c r="I3" s="5" t="s">
        <v>73</v>
      </c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54"/>
    </row>
    <row r="4" spans="1:25" x14ac:dyDescent="0.25">
      <c r="A4" s="88" t="s">
        <v>57</v>
      </c>
      <c r="B4" s="95">
        <v>120</v>
      </c>
      <c r="C4" s="97">
        <v>16.53</v>
      </c>
      <c r="D4" s="98">
        <f>B4*C4</f>
        <v>1983.6000000000001</v>
      </c>
      <c r="E4" s="93">
        <v>12</v>
      </c>
      <c r="F4" s="103">
        <f>D4*E4</f>
        <v>23803.200000000001</v>
      </c>
      <c r="G4" s="54"/>
      <c r="H4" s="106">
        <f>D4*0.3</f>
        <v>595.08000000000004</v>
      </c>
      <c r="I4" s="103">
        <f>F4*0.3</f>
        <v>7140.96</v>
      </c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</row>
    <row r="5" spans="1:25" x14ac:dyDescent="0.25">
      <c r="A5" s="89" t="s">
        <v>58</v>
      </c>
      <c r="B5" s="96">
        <v>120</v>
      </c>
      <c r="C5" s="99">
        <v>14.28</v>
      </c>
      <c r="D5" s="100">
        <f t="shared" ref="D5:D13" si="0">B5*C5</f>
        <v>1713.6</v>
      </c>
      <c r="E5" s="87">
        <v>12</v>
      </c>
      <c r="F5" s="104">
        <f t="shared" ref="F5:F13" si="1">D5*E5</f>
        <v>20563.199999999997</v>
      </c>
      <c r="G5" s="54"/>
      <c r="H5" s="107">
        <f t="shared" ref="H5:H13" si="2">D5*0.3</f>
        <v>514.07999999999993</v>
      </c>
      <c r="I5" s="104">
        <f t="shared" ref="I5:I13" si="3">F5*0.3</f>
        <v>6168.9599999999991</v>
      </c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</row>
    <row r="6" spans="1:25" x14ac:dyDescent="0.25">
      <c r="A6" s="89" t="s">
        <v>59</v>
      </c>
      <c r="B6" s="96">
        <v>120</v>
      </c>
      <c r="C6" s="99">
        <v>9.6</v>
      </c>
      <c r="D6" s="100">
        <f t="shared" si="0"/>
        <v>1152</v>
      </c>
      <c r="E6" s="87">
        <v>9</v>
      </c>
      <c r="F6" s="104">
        <f t="shared" si="1"/>
        <v>10368</v>
      </c>
      <c r="H6" s="107">
        <f t="shared" si="2"/>
        <v>345.59999999999997</v>
      </c>
      <c r="I6" s="104">
        <f t="shared" si="3"/>
        <v>3110.4</v>
      </c>
    </row>
    <row r="7" spans="1:25" x14ac:dyDescent="0.25">
      <c r="A7" s="89" t="s">
        <v>60</v>
      </c>
      <c r="B7" s="96">
        <v>0</v>
      </c>
      <c r="C7" s="99">
        <v>0</v>
      </c>
      <c r="D7" s="100">
        <f t="shared" si="0"/>
        <v>0</v>
      </c>
      <c r="E7" s="87">
        <v>0</v>
      </c>
      <c r="F7" s="104">
        <f t="shared" si="1"/>
        <v>0</v>
      </c>
      <c r="H7" s="107">
        <f t="shared" si="2"/>
        <v>0</v>
      </c>
      <c r="I7" s="104">
        <f t="shared" si="3"/>
        <v>0</v>
      </c>
    </row>
    <row r="8" spans="1:25" x14ac:dyDescent="0.25">
      <c r="A8" s="89" t="s">
        <v>61</v>
      </c>
      <c r="B8" s="96">
        <v>0</v>
      </c>
      <c r="C8" s="99">
        <v>0</v>
      </c>
      <c r="D8" s="100">
        <f t="shared" si="0"/>
        <v>0</v>
      </c>
      <c r="E8" s="87">
        <v>0</v>
      </c>
      <c r="F8" s="104">
        <f t="shared" si="1"/>
        <v>0</v>
      </c>
      <c r="H8" s="107">
        <f t="shared" si="2"/>
        <v>0</v>
      </c>
      <c r="I8" s="104">
        <f t="shared" si="3"/>
        <v>0</v>
      </c>
    </row>
    <row r="9" spans="1:25" x14ac:dyDescent="0.25">
      <c r="A9" s="89" t="s">
        <v>62</v>
      </c>
      <c r="B9" s="96">
        <v>0</v>
      </c>
      <c r="C9" s="99">
        <v>0</v>
      </c>
      <c r="D9" s="100">
        <f t="shared" si="0"/>
        <v>0</v>
      </c>
      <c r="E9" s="87">
        <v>0</v>
      </c>
      <c r="F9" s="104">
        <f t="shared" si="1"/>
        <v>0</v>
      </c>
      <c r="H9" s="107">
        <f t="shared" si="2"/>
        <v>0</v>
      </c>
      <c r="I9" s="104">
        <f t="shared" si="3"/>
        <v>0</v>
      </c>
    </row>
    <row r="10" spans="1:25" x14ac:dyDescent="0.25">
      <c r="A10" s="89" t="s">
        <v>63</v>
      </c>
      <c r="B10" s="96">
        <v>0</v>
      </c>
      <c r="C10" s="99">
        <v>0</v>
      </c>
      <c r="D10" s="100">
        <f t="shared" si="0"/>
        <v>0</v>
      </c>
      <c r="E10" s="87">
        <v>0</v>
      </c>
      <c r="F10" s="104">
        <f t="shared" si="1"/>
        <v>0</v>
      </c>
      <c r="H10" s="107">
        <f t="shared" si="2"/>
        <v>0</v>
      </c>
      <c r="I10" s="104">
        <f t="shared" si="3"/>
        <v>0</v>
      </c>
    </row>
    <row r="11" spans="1:25" x14ac:dyDescent="0.25">
      <c r="A11" s="89" t="s">
        <v>64</v>
      </c>
      <c r="B11" s="96">
        <v>0</v>
      </c>
      <c r="C11" s="99">
        <v>0</v>
      </c>
      <c r="D11" s="100">
        <f t="shared" si="0"/>
        <v>0</v>
      </c>
      <c r="E11" s="87">
        <v>0</v>
      </c>
      <c r="F11" s="104">
        <f t="shared" si="1"/>
        <v>0</v>
      </c>
      <c r="H11" s="107">
        <f t="shared" si="2"/>
        <v>0</v>
      </c>
      <c r="I11" s="104">
        <f t="shared" si="3"/>
        <v>0</v>
      </c>
    </row>
    <row r="12" spans="1:25" x14ac:dyDescent="0.25">
      <c r="A12" s="89" t="s">
        <v>65</v>
      </c>
      <c r="B12" s="96">
        <v>0</v>
      </c>
      <c r="C12" s="99">
        <v>0</v>
      </c>
      <c r="D12" s="100">
        <f t="shared" si="0"/>
        <v>0</v>
      </c>
      <c r="E12" s="87">
        <v>0</v>
      </c>
      <c r="F12" s="104">
        <f t="shared" si="1"/>
        <v>0</v>
      </c>
      <c r="H12" s="107">
        <f t="shared" si="2"/>
        <v>0</v>
      </c>
      <c r="I12" s="104">
        <f t="shared" si="3"/>
        <v>0</v>
      </c>
    </row>
    <row r="13" spans="1:25" x14ac:dyDescent="0.25">
      <c r="A13" s="90" t="s">
        <v>66</v>
      </c>
      <c r="B13" s="109">
        <v>0</v>
      </c>
      <c r="C13" s="101">
        <v>0</v>
      </c>
      <c r="D13" s="102">
        <f t="shared" si="0"/>
        <v>0</v>
      </c>
      <c r="E13" s="94">
        <v>0</v>
      </c>
      <c r="F13" s="105">
        <f t="shared" si="1"/>
        <v>0</v>
      </c>
      <c r="H13" s="108">
        <f t="shared" si="2"/>
        <v>0</v>
      </c>
      <c r="I13" s="105">
        <f t="shared" si="3"/>
        <v>0</v>
      </c>
    </row>
    <row r="15" spans="1:25" x14ac:dyDescent="0.25">
      <c r="H15" s="3" t="s">
        <v>75</v>
      </c>
      <c r="I15" s="5" t="s">
        <v>76</v>
      </c>
    </row>
    <row r="16" spans="1:25" x14ac:dyDescent="0.25">
      <c r="H16" s="110">
        <f>SUM(H4:H13)</f>
        <v>1454.7599999999998</v>
      </c>
      <c r="I16" s="111">
        <f>SUM(I4:I13)</f>
        <v>16420.32</v>
      </c>
    </row>
  </sheetData>
  <pageMargins left="0.7" right="0.7" top="0.75" bottom="0.75" header="0.3" footer="0.3"/>
  <pageSetup orientation="portrait" horizontalDpi="4294967294" vertic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31"/>
  <sheetViews>
    <sheetView topLeftCell="A13" zoomScale="80" zoomScaleNormal="80" workbookViewId="0">
      <selection activeCell="C31" sqref="C31"/>
    </sheetView>
  </sheetViews>
  <sheetFormatPr defaultRowHeight="15" x14ac:dyDescent="0.25"/>
  <cols>
    <col min="1" max="1" width="8.140625" customWidth="1"/>
    <col min="2" max="2" width="20.140625" customWidth="1"/>
    <col min="3" max="3" width="17.5703125" customWidth="1"/>
    <col min="4" max="4" width="10.5703125" customWidth="1"/>
    <col min="5" max="5" width="10.140625" customWidth="1"/>
    <col min="6" max="6" width="10.28515625" customWidth="1"/>
    <col min="7" max="7" width="10.140625" customWidth="1"/>
    <col min="8" max="8" width="10.42578125" customWidth="1"/>
    <col min="9" max="9" width="10.7109375" customWidth="1"/>
    <col min="10" max="10" width="10.140625" customWidth="1"/>
    <col min="11" max="11" width="10.5703125" customWidth="1"/>
    <col min="12" max="12" width="12.42578125" customWidth="1"/>
    <col min="13" max="13" width="10.7109375" customWidth="1"/>
    <col min="14" max="14" width="11" customWidth="1"/>
    <col min="15" max="15" width="12" customWidth="1"/>
    <col min="16" max="16" width="19.140625" customWidth="1"/>
    <col min="17" max="17" width="25.5703125" customWidth="1"/>
  </cols>
  <sheetData>
    <row r="1" spans="1:18" ht="23.25" x14ac:dyDescent="0.35">
      <c r="A1" s="10" t="s">
        <v>81</v>
      </c>
    </row>
    <row r="3" spans="1:18" x14ac:dyDescent="0.25">
      <c r="C3" s="3" t="s">
        <v>39</v>
      </c>
      <c r="D3" s="4" t="s">
        <v>0</v>
      </c>
      <c r="E3" s="4" t="s">
        <v>1</v>
      </c>
      <c r="F3" s="4" t="s">
        <v>2</v>
      </c>
      <c r="G3" s="4" t="s">
        <v>3</v>
      </c>
      <c r="H3" s="4" t="s">
        <v>4</v>
      </c>
      <c r="I3" s="4" t="s">
        <v>5</v>
      </c>
      <c r="J3" s="4" t="s">
        <v>6</v>
      </c>
      <c r="K3" s="4" t="s">
        <v>7</v>
      </c>
      <c r="L3" s="4" t="s">
        <v>8</v>
      </c>
      <c r="M3" s="4" t="s">
        <v>9</v>
      </c>
      <c r="N3" s="4" t="s">
        <v>10</v>
      </c>
      <c r="O3" s="5" t="s">
        <v>11</v>
      </c>
    </row>
    <row r="4" spans="1:18" x14ac:dyDescent="0.25">
      <c r="A4" s="140" t="s">
        <v>13</v>
      </c>
      <c r="B4" s="141"/>
      <c r="C4" s="11"/>
      <c r="P4" s="7" t="s">
        <v>22</v>
      </c>
    </row>
    <row r="5" spans="1:18" x14ac:dyDescent="0.25">
      <c r="A5" s="150" t="s">
        <v>21</v>
      </c>
      <c r="B5" s="151"/>
      <c r="C5" s="34">
        <v>0</v>
      </c>
      <c r="D5" s="34">
        <v>1600</v>
      </c>
      <c r="E5" s="55">
        <f>D5*(1+Dashboard!$C$8)</f>
        <v>1606.6666666666667</v>
      </c>
      <c r="F5" s="55">
        <f>E5*(1+Dashboard!$C$8)</f>
        <v>1613.3611111111111</v>
      </c>
      <c r="G5" s="55">
        <f>F5*(1+Dashboard!$C$8)</f>
        <v>1620.083449074074</v>
      </c>
      <c r="H5" s="55">
        <f>G5*(1+Dashboard!$C$8)</f>
        <v>1626.8337967785492</v>
      </c>
      <c r="I5" s="55">
        <f>H5*(1+Dashboard!$C$8)</f>
        <v>1633.6122709317931</v>
      </c>
      <c r="J5" s="55">
        <f>I5*(1+Dashboard!$C$8)</f>
        <v>1640.4189887273421</v>
      </c>
      <c r="K5" s="55">
        <f>J5*(1+Dashboard!$C$8)</f>
        <v>1647.2540678470393</v>
      </c>
      <c r="L5" s="55">
        <f>K5*(1+Dashboard!$C$8)</f>
        <v>1654.1176264630685</v>
      </c>
      <c r="M5" s="55">
        <f>L5*(1+Dashboard!$C$8)</f>
        <v>1661.0097832399979</v>
      </c>
      <c r="N5" s="55">
        <f>M5*(1+Dashboard!$C$8)</f>
        <v>1667.9306573368312</v>
      </c>
      <c r="O5" s="55">
        <f>N5*(1+Dashboard!$C$8)</f>
        <v>1674.8803684090681</v>
      </c>
      <c r="P5" s="37">
        <f>SUM(C5:O5)</f>
        <v>19646.168786585538</v>
      </c>
      <c r="Q5" s="2"/>
    </row>
    <row r="6" spans="1:18" x14ac:dyDescent="0.25">
      <c r="A6" s="61" t="s">
        <v>33</v>
      </c>
      <c r="B6" s="62"/>
      <c r="C6" s="35">
        <v>5</v>
      </c>
      <c r="D6" s="35">
        <v>5</v>
      </c>
      <c r="E6" s="35">
        <v>5</v>
      </c>
      <c r="F6" s="35">
        <v>5</v>
      </c>
      <c r="G6" s="35">
        <v>5</v>
      </c>
      <c r="H6" s="35">
        <v>5</v>
      </c>
      <c r="I6" s="35">
        <v>5</v>
      </c>
      <c r="J6" s="35">
        <v>5</v>
      </c>
      <c r="K6" s="35">
        <v>5</v>
      </c>
      <c r="L6" s="35">
        <v>5</v>
      </c>
      <c r="M6" s="35">
        <v>5</v>
      </c>
      <c r="N6" s="35">
        <v>5</v>
      </c>
      <c r="O6" s="35">
        <v>5</v>
      </c>
      <c r="P6" s="38">
        <f>SUM(C6:O6)</f>
        <v>65</v>
      </c>
      <c r="Q6" s="2"/>
    </row>
    <row r="7" spans="1:18" x14ac:dyDescent="0.25">
      <c r="A7" s="152" t="s">
        <v>34</v>
      </c>
      <c r="B7" s="153"/>
      <c r="C7" s="36">
        <v>25</v>
      </c>
      <c r="D7" s="36">
        <v>25</v>
      </c>
      <c r="E7" s="36">
        <v>25</v>
      </c>
      <c r="F7" s="36">
        <v>25</v>
      </c>
      <c r="G7" s="36">
        <v>25</v>
      </c>
      <c r="H7" s="36">
        <v>25</v>
      </c>
      <c r="I7" s="36">
        <v>25</v>
      </c>
      <c r="J7" s="36">
        <v>25</v>
      </c>
      <c r="K7" s="36">
        <v>25</v>
      </c>
      <c r="L7" s="36">
        <v>25</v>
      </c>
      <c r="M7" s="36">
        <v>25</v>
      </c>
      <c r="N7" s="36">
        <v>25</v>
      </c>
      <c r="O7" s="36">
        <v>25</v>
      </c>
      <c r="P7" s="39">
        <f>SUM(C7:O7)</f>
        <v>325</v>
      </c>
      <c r="Q7" s="2"/>
    </row>
    <row r="8" spans="1:18" x14ac:dyDescent="0.25">
      <c r="Q8" s="7" t="s">
        <v>23</v>
      </c>
    </row>
    <row r="9" spans="1:18" x14ac:dyDescent="0.25">
      <c r="B9" s="6" t="s">
        <v>22</v>
      </c>
      <c r="C9" s="40">
        <f t="shared" ref="C9:P9" si="0">SUM(C5:C7)</f>
        <v>30</v>
      </c>
      <c r="D9" s="40">
        <f t="shared" si="0"/>
        <v>1630</v>
      </c>
      <c r="E9" s="41">
        <f t="shared" si="0"/>
        <v>1636.6666666666667</v>
      </c>
      <c r="F9" s="41">
        <f t="shared" si="0"/>
        <v>1643.3611111111111</v>
      </c>
      <c r="G9" s="41">
        <f t="shared" si="0"/>
        <v>1650.083449074074</v>
      </c>
      <c r="H9" s="41">
        <f t="shared" si="0"/>
        <v>1656.8337967785492</v>
      </c>
      <c r="I9" s="41">
        <f t="shared" si="0"/>
        <v>1663.6122709317931</v>
      </c>
      <c r="J9" s="41">
        <f t="shared" si="0"/>
        <v>1670.4189887273421</v>
      </c>
      <c r="K9" s="41">
        <f t="shared" si="0"/>
        <v>1677.2540678470393</v>
      </c>
      <c r="L9" s="41">
        <f t="shared" si="0"/>
        <v>1684.1176264630685</v>
      </c>
      <c r="M9" s="41">
        <f t="shared" si="0"/>
        <v>1691.0097832399979</v>
      </c>
      <c r="N9" s="41">
        <f t="shared" si="0"/>
        <v>1697.9306573368312</v>
      </c>
      <c r="O9" s="42">
        <f t="shared" si="0"/>
        <v>1704.8803684090681</v>
      </c>
      <c r="P9" s="43">
        <f t="shared" si="0"/>
        <v>20036.168786585538</v>
      </c>
      <c r="Q9" s="115">
        <f>P9*Dashboard!G11</f>
        <v>18032.551907926983</v>
      </c>
    </row>
    <row r="10" spans="1:18" x14ac:dyDescent="0.25">
      <c r="B10" s="2"/>
      <c r="C10" s="2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2"/>
    </row>
    <row r="11" spans="1:18" x14ac:dyDescent="0.25">
      <c r="C11" s="3" t="s">
        <v>26</v>
      </c>
      <c r="D11" s="8" t="s">
        <v>0</v>
      </c>
      <c r="E11" s="8" t="s">
        <v>1</v>
      </c>
      <c r="F11" s="8" t="s">
        <v>2</v>
      </c>
      <c r="G11" s="8" t="s">
        <v>3</v>
      </c>
      <c r="H11" s="8" t="s">
        <v>4</v>
      </c>
      <c r="I11" s="8" t="s">
        <v>5</v>
      </c>
      <c r="J11" s="8" t="s">
        <v>6</v>
      </c>
      <c r="K11" s="8" t="s">
        <v>7</v>
      </c>
      <c r="L11" s="8" t="s">
        <v>8</v>
      </c>
      <c r="M11" s="8" t="s">
        <v>9</v>
      </c>
      <c r="N11" s="8" t="s">
        <v>10</v>
      </c>
      <c r="O11" s="9" t="s">
        <v>11</v>
      </c>
    </row>
    <row r="12" spans="1:18" x14ac:dyDescent="0.25">
      <c r="A12" s="142" t="s">
        <v>12</v>
      </c>
      <c r="B12" s="143"/>
      <c r="C12" s="11"/>
      <c r="P12" s="7" t="s">
        <v>22</v>
      </c>
      <c r="Q12" s="2"/>
    </row>
    <row r="13" spans="1:18" x14ac:dyDescent="0.25">
      <c r="A13" s="144" t="s">
        <v>14</v>
      </c>
      <c r="B13" s="145"/>
      <c r="C13" s="55">
        <f>Salaries!$H$16</f>
        <v>1454.7599999999998</v>
      </c>
      <c r="D13" s="55">
        <f>Salaries!$H$16</f>
        <v>1454.7599999999998</v>
      </c>
      <c r="E13" s="55">
        <f>Salaries!$H$16</f>
        <v>1454.7599999999998</v>
      </c>
      <c r="F13" s="55">
        <f>Salaries!$H$16</f>
        <v>1454.7599999999998</v>
      </c>
      <c r="G13" s="55">
        <f>Salaries!$H$16</f>
        <v>1454.7599999999998</v>
      </c>
      <c r="H13" s="55">
        <f>Salaries!$H$16</f>
        <v>1454.7599999999998</v>
      </c>
      <c r="I13" s="55">
        <f>Salaries!$H$16</f>
        <v>1454.7599999999998</v>
      </c>
      <c r="J13" s="55">
        <f>Salaries!$H$16</f>
        <v>1454.7599999999998</v>
      </c>
      <c r="K13" s="55">
        <f>Salaries!$H$16</f>
        <v>1454.7599999999998</v>
      </c>
      <c r="L13" s="55">
        <f>Salaries!$H$16</f>
        <v>1454.7599999999998</v>
      </c>
      <c r="M13" s="55">
        <f>Salaries!$H$16</f>
        <v>1454.7599999999998</v>
      </c>
      <c r="N13" s="55">
        <f>Salaries!$H$16</f>
        <v>1454.7599999999998</v>
      </c>
      <c r="O13" s="55">
        <f>Salaries!$H$16</f>
        <v>1454.7599999999998</v>
      </c>
      <c r="P13" s="37">
        <f>SUM(C13:O13)</f>
        <v>18911.879999999997</v>
      </c>
      <c r="Q13" s="2"/>
      <c r="R13" s="2"/>
    </row>
    <row r="14" spans="1:18" x14ac:dyDescent="0.25">
      <c r="A14" s="146" t="s">
        <v>15</v>
      </c>
      <c r="B14" s="147"/>
      <c r="C14" s="35">
        <v>15</v>
      </c>
      <c r="D14" s="35">
        <v>15</v>
      </c>
      <c r="E14" s="35">
        <v>15</v>
      </c>
      <c r="F14" s="35">
        <v>15</v>
      </c>
      <c r="G14" s="35">
        <v>15</v>
      </c>
      <c r="H14" s="35">
        <v>15</v>
      </c>
      <c r="I14" s="35">
        <v>15</v>
      </c>
      <c r="J14" s="35">
        <v>15</v>
      </c>
      <c r="K14" s="35">
        <v>15</v>
      </c>
      <c r="L14" s="35">
        <v>15</v>
      </c>
      <c r="M14" s="35">
        <v>15</v>
      </c>
      <c r="N14" s="35">
        <v>15</v>
      </c>
      <c r="O14" s="35">
        <v>15</v>
      </c>
      <c r="P14" s="38">
        <f t="shared" ref="P14:P21" si="1">SUM(C14:O14)</f>
        <v>195</v>
      </c>
      <c r="Q14" s="2"/>
      <c r="R14" s="2"/>
    </row>
    <row r="15" spans="1:18" x14ac:dyDescent="0.25">
      <c r="A15" s="146" t="s">
        <v>16</v>
      </c>
      <c r="B15" s="147"/>
      <c r="C15" s="35">
        <v>4</v>
      </c>
      <c r="D15" s="35">
        <v>4</v>
      </c>
      <c r="E15" s="35">
        <v>4</v>
      </c>
      <c r="F15" s="35">
        <v>4</v>
      </c>
      <c r="G15" s="35">
        <v>4</v>
      </c>
      <c r="H15" s="35">
        <v>4</v>
      </c>
      <c r="I15" s="35">
        <v>4</v>
      </c>
      <c r="J15" s="35">
        <v>4</v>
      </c>
      <c r="K15" s="35">
        <v>4</v>
      </c>
      <c r="L15" s="35">
        <v>4</v>
      </c>
      <c r="M15" s="35">
        <v>4</v>
      </c>
      <c r="N15" s="35">
        <v>4</v>
      </c>
      <c r="O15" s="35">
        <v>4</v>
      </c>
      <c r="P15" s="38">
        <f t="shared" si="1"/>
        <v>52</v>
      </c>
      <c r="Q15" s="2"/>
      <c r="R15" s="2"/>
    </row>
    <row r="16" spans="1:18" x14ac:dyDescent="0.25">
      <c r="A16" s="146" t="s">
        <v>17</v>
      </c>
      <c r="B16" s="147"/>
      <c r="C16" s="35">
        <v>150</v>
      </c>
      <c r="D16" s="35">
        <v>40</v>
      </c>
      <c r="E16" s="35">
        <v>30</v>
      </c>
      <c r="F16" s="35">
        <v>20</v>
      </c>
      <c r="G16" s="35">
        <v>10</v>
      </c>
      <c r="H16" s="35">
        <v>5</v>
      </c>
      <c r="I16" s="35">
        <v>0</v>
      </c>
      <c r="J16" s="35">
        <v>5</v>
      </c>
      <c r="K16" s="35">
        <v>0</v>
      </c>
      <c r="L16" s="35">
        <v>5</v>
      </c>
      <c r="M16" s="35">
        <v>0</v>
      </c>
      <c r="N16" s="35">
        <v>5</v>
      </c>
      <c r="O16" s="35">
        <v>0</v>
      </c>
      <c r="P16" s="38">
        <f t="shared" si="1"/>
        <v>270</v>
      </c>
      <c r="Q16" s="2"/>
      <c r="R16" s="2"/>
    </row>
    <row r="17" spans="1:18" x14ac:dyDescent="0.25">
      <c r="A17" s="148" t="s">
        <v>19</v>
      </c>
      <c r="B17" s="149"/>
      <c r="C17" s="35">
        <v>50</v>
      </c>
      <c r="D17" s="35">
        <v>30</v>
      </c>
      <c r="E17" s="56">
        <f>D17*(1+Dashboard!$C$8)</f>
        <v>30.125</v>
      </c>
      <c r="F17" s="56">
        <f>E17*(1+Dashboard!$C$8)</f>
        <v>30.250520833333333</v>
      </c>
      <c r="G17" s="56">
        <f>F17*(1+Dashboard!$C$8)</f>
        <v>30.376564670138887</v>
      </c>
      <c r="H17" s="56">
        <f>G17*(1+Dashboard!$C$8)</f>
        <v>30.503133689597799</v>
      </c>
      <c r="I17" s="56">
        <f>H17*(1+Dashboard!$C$8)</f>
        <v>30.630230079971124</v>
      </c>
      <c r="J17" s="56">
        <f>I17*(1+Dashboard!$C$8)</f>
        <v>30.757856038637669</v>
      </c>
      <c r="K17" s="56">
        <f>J17*(1+Dashboard!$C$8)</f>
        <v>30.886013772131992</v>
      </c>
      <c r="L17" s="56">
        <f>K17*(1+Dashboard!$C$8)</f>
        <v>31.014705496182543</v>
      </c>
      <c r="M17" s="56">
        <f>L17*(1+Dashboard!$C$8)</f>
        <v>31.143933435749972</v>
      </c>
      <c r="N17" s="56">
        <f>M17*(1+Dashboard!$C$8)</f>
        <v>31.273699825065595</v>
      </c>
      <c r="O17" s="56">
        <f>N17*(1+Dashboard!$C$8)</f>
        <v>31.404006907670034</v>
      </c>
      <c r="P17" s="38">
        <f t="shared" si="1"/>
        <v>418.36566474847893</v>
      </c>
      <c r="Q17" s="2"/>
      <c r="R17" s="2"/>
    </row>
    <row r="18" spans="1:18" x14ac:dyDescent="0.25">
      <c r="A18" s="148" t="s">
        <v>56</v>
      </c>
      <c r="B18" s="149"/>
      <c r="C18" s="35">
        <v>15</v>
      </c>
      <c r="D18" s="35">
        <v>15</v>
      </c>
      <c r="E18" s="56">
        <f>D18*(1+Dashboard!$C$8)</f>
        <v>15.0625</v>
      </c>
      <c r="F18" s="56">
        <f>E18*(1+Dashboard!$C$8)</f>
        <v>15.125260416666666</v>
      </c>
      <c r="G18" s="56">
        <f>F18*(1+Dashboard!$C$8)</f>
        <v>15.188282335069443</v>
      </c>
      <c r="H18" s="56">
        <f>G18*(1+Dashboard!$C$8)</f>
        <v>15.2515668447989</v>
      </c>
      <c r="I18" s="56">
        <f>H18*(1+Dashboard!$C$8)</f>
        <v>15.315115039985562</v>
      </c>
      <c r="J18" s="56">
        <f>I18*(1+Dashboard!$C$8)</f>
        <v>15.378928019318835</v>
      </c>
      <c r="K18" s="56">
        <f>J18*(1+Dashboard!$C$8)</f>
        <v>15.443006886065996</v>
      </c>
      <c r="L18" s="56">
        <f>K18*(1+Dashboard!$C$8)</f>
        <v>15.507352748091272</v>
      </c>
      <c r="M18" s="56">
        <f>L18*(1+Dashboard!$C$8)</f>
        <v>15.571966717874986</v>
      </c>
      <c r="N18" s="56">
        <f>M18*(1+Dashboard!$C$8)</f>
        <v>15.636849912532798</v>
      </c>
      <c r="O18" s="56">
        <f>N18*(1+Dashboard!$C$8)</f>
        <v>15.702003453835017</v>
      </c>
      <c r="P18" s="38">
        <f t="shared" si="1"/>
        <v>199.18283237423947</v>
      </c>
      <c r="Q18" s="2"/>
      <c r="R18" s="2"/>
    </row>
    <row r="19" spans="1:18" x14ac:dyDescent="0.25">
      <c r="A19" s="154" t="s">
        <v>79</v>
      </c>
      <c r="B19" s="155"/>
      <c r="C19" s="35">
        <v>0</v>
      </c>
      <c r="D19" s="35">
        <v>0</v>
      </c>
      <c r="E19" s="35">
        <v>0</v>
      </c>
      <c r="F19" s="35">
        <v>0</v>
      </c>
      <c r="G19" s="35">
        <v>0</v>
      </c>
      <c r="H19" s="35">
        <v>100</v>
      </c>
      <c r="I19" s="35">
        <v>100</v>
      </c>
      <c r="J19" s="35">
        <v>100</v>
      </c>
      <c r="K19" s="35">
        <v>100</v>
      </c>
      <c r="L19" s="35">
        <v>150</v>
      </c>
      <c r="M19" s="35">
        <v>150</v>
      </c>
      <c r="N19" s="35">
        <v>150</v>
      </c>
      <c r="O19" s="35">
        <v>150</v>
      </c>
      <c r="P19" s="38">
        <f t="shared" si="1"/>
        <v>1000</v>
      </c>
      <c r="Q19" s="54"/>
      <c r="R19" s="54"/>
    </row>
    <row r="20" spans="1:18" x14ac:dyDescent="0.25">
      <c r="A20" s="146" t="s">
        <v>20</v>
      </c>
      <c r="B20" s="147"/>
      <c r="C20" s="35">
        <v>4</v>
      </c>
      <c r="D20" s="35">
        <v>4</v>
      </c>
      <c r="E20" s="35">
        <v>4</v>
      </c>
      <c r="F20" s="35">
        <v>4</v>
      </c>
      <c r="G20" s="35">
        <v>4</v>
      </c>
      <c r="H20" s="35">
        <v>4</v>
      </c>
      <c r="I20" s="35">
        <v>4</v>
      </c>
      <c r="J20" s="35">
        <v>4</v>
      </c>
      <c r="K20" s="35">
        <v>4</v>
      </c>
      <c r="L20" s="35">
        <v>4</v>
      </c>
      <c r="M20" s="35">
        <v>4</v>
      </c>
      <c r="N20" s="35">
        <v>4</v>
      </c>
      <c r="O20" s="35">
        <v>4</v>
      </c>
      <c r="P20" s="38">
        <f t="shared" si="1"/>
        <v>52</v>
      </c>
      <c r="Q20" s="2"/>
      <c r="R20" s="2"/>
    </row>
    <row r="21" spans="1:18" x14ac:dyDescent="0.25">
      <c r="A21" s="138" t="s">
        <v>41</v>
      </c>
      <c r="B21" s="139"/>
      <c r="C21" s="36">
        <v>2</v>
      </c>
      <c r="D21" s="36">
        <v>2</v>
      </c>
      <c r="E21" s="36">
        <v>2</v>
      </c>
      <c r="F21" s="36">
        <v>2</v>
      </c>
      <c r="G21" s="36">
        <v>2</v>
      </c>
      <c r="H21" s="36">
        <v>2</v>
      </c>
      <c r="I21" s="36">
        <v>2</v>
      </c>
      <c r="J21" s="36">
        <v>2</v>
      </c>
      <c r="K21" s="36">
        <v>2</v>
      </c>
      <c r="L21" s="36">
        <v>2</v>
      </c>
      <c r="M21" s="36">
        <v>2</v>
      </c>
      <c r="N21" s="36">
        <v>2</v>
      </c>
      <c r="O21" s="36">
        <v>2</v>
      </c>
      <c r="P21" s="39">
        <f t="shared" si="1"/>
        <v>26</v>
      </c>
      <c r="Q21" s="2"/>
      <c r="R21" s="2"/>
    </row>
    <row r="22" spans="1:18" x14ac:dyDescent="0.25">
      <c r="Q22" s="7" t="s">
        <v>23</v>
      </c>
      <c r="R22" s="2"/>
    </row>
    <row r="23" spans="1:18" x14ac:dyDescent="0.25">
      <c r="B23" s="6" t="s">
        <v>22</v>
      </c>
      <c r="C23" s="40">
        <f t="shared" ref="C23:P23" si="2">SUM(C13:C21)</f>
        <v>1694.7599999999998</v>
      </c>
      <c r="D23" s="40">
        <f t="shared" si="2"/>
        <v>1564.7599999999998</v>
      </c>
      <c r="E23" s="41">
        <f t="shared" si="2"/>
        <v>1554.9474999999998</v>
      </c>
      <c r="F23" s="41">
        <f t="shared" si="2"/>
        <v>1545.1357812499998</v>
      </c>
      <c r="G23" s="41">
        <f t="shared" si="2"/>
        <v>1535.3248470052081</v>
      </c>
      <c r="H23" s="41">
        <f t="shared" si="2"/>
        <v>1630.5147005343963</v>
      </c>
      <c r="I23" s="41">
        <f t="shared" si="2"/>
        <v>1625.7053451199565</v>
      </c>
      <c r="J23" s="41">
        <f t="shared" si="2"/>
        <v>1630.8967840579564</v>
      </c>
      <c r="K23" s="41">
        <f t="shared" si="2"/>
        <v>1626.0890206581978</v>
      </c>
      <c r="L23" s="41">
        <f t="shared" si="2"/>
        <v>1681.2820582442737</v>
      </c>
      <c r="M23" s="41">
        <f t="shared" si="2"/>
        <v>1676.4759001536247</v>
      </c>
      <c r="N23" s="41">
        <f t="shared" si="2"/>
        <v>1681.6705497375983</v>
      </c>
      <c r="O23" s="42">
        <f t="shared" si="2"/>
        <v>1676.8660103615048</v>
      </c>
      <c r="P23" s="43">
        <f t="shared" si="2"/>
        <v>21124.428497122717</v>
      </c>
      <c r="Q23" s="116">
        <f>P23*(1+(1-Dashboard!$G$11))</f>
        <v>23236.871346834992</v>
      </c>
    </row>
    <row r="24" spans="1:18" ht="15.75" thickBot="1" x14ac:dyDescent="0.3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</row>
    <row r="25" spans="1:18" ht="15.75" x14ac:dyDescent="0.25">
      <c r="P25" s="77" t="s">
        <v>24</v>
      </c>
      <c r="Q25" s="77" t="s">
        <v>25</v>
      </c>
    </row>
    <row r="26" spans="1:18" ht="15.75" thickBot="1" x14ac:dyDescent="0.3">
      <c r="B26" s="6" t="s">
        <v>27</v>
      </c>
      <c r="C26" s="41">
        <f t="shared" ref="C26:O26" si="3">C9-C23</f>
        <v>-1664.7599999999998</v>
      </c>
      <c r="D26" s="41">
        <f t="shared" si="3"/>
        <v>65.240000000000236</v>
      </c>
      <c r="E26" s="41">
        <f t="shared" si="3"/>
        <v>81.719166666666979</v>
      </c>
      <c r="F26" s="41">
        <f t="shared" si="3"/>
        <v>98.225329861111277</v>
      </c>
      <c r="G26" s="41">
        <f t="shared" si="3"/>
        <v>114.75860206886591</v>
      </c>
      <c r="H26" s="41">
        <f t="shared" si="3"/>
        <v>26.319096244152888</v>
      </c>
      <c r="I26" s="41">
        <f t="shared" si="3"/>
        <v>37.906925811836572</v>
      </c>
      <c r="J26" s="41">
        <f t="shared" si="3"/>
        <v>39.522204669385701</v>
      </c>
      <c r="K26" s="41">
        <f t="shared" si="3"/>
        <v>51.165047188841527</v>
      </c>
      <c r="L26" s="41">
        <f t="shared" si="3"/>
        <v>2.8355682187948332</v>
      </c>
      <c r="M26" s="41">
        <f t="shared" si="3"/>
        <v>14.53388308637318</v>
      </c>
      <c r="N26" s="41">
        <f t="shared" si="3"/>
        <v>16.260107599232924</v>
      </c>
      <c r="O26" s="41">
        <f t="shared" si="3"/>
        <v>28.014358047563292</v>
      </c>
      <c r="P26" s="78">
        <f>SUM(C26:O26)</f>
        <v>-1088.2597105371744</v>
      </c>
      <c r="Q26" s="78">
        <f>Q9-Q23</f>
        <v>-5204.319438908009</v>
      </c>
    </row>
    <row r="27" spans="1:18" x14ac:dyDescent="0.25">
      <c r="B27" s="6" t="s">
        <v>35</v>
      </c>
      <c r="C27" s="44">
        <f>C26</f>
        <v>-1664.7599999999998</v>
      </c>
      <c r="D27" s="45">
        <f t="shared" ref="D27:O27" si="4">C27+D26</f>
        <v>-1599.5199999999995</v>
      </c>
      <c r="E27" s="45">
        <f t="shared" si="4"/>
        <v>-1517.8008333333325</v>
      </c>
      <c r="F27" s="45">
        <f t="shared" si="4"/>
        <v>-1419.5755034722213</v>
      </c>
      <c r="G27" s="45">
        <f t="shared" si="4"/>
        <v>-1304.8169014033554</v>
      </c>
      <c r="H27" s="45">
        <f t="shared" si="4"/>
        <v>-1278.4978051592025</v>
      </c>
      <c r="I27" s="45">
        <f t="shared" si="4"/>
        <v>-1240.5908793473659</v>
      </c>
      <c r="J27" s="45">
        <f t="shared" si="4"/>
        <v>-1201.0686746779802</v>
      </c>
      <c r="K27" s="45">
        <f t="shared" si="4"/>
        <v>-1149.9036274891387</v>
      </c>
      <c r="L27" s="45">
        <f t="shared" si="4"/>
        <v>-1147.0680592703438</v>
      </c>
      <c r="M27" s="45">
        <f t="shared" si="4"/>
        <v>-1132.5341761839707</v>
      </c>
      <c r="N27" s="45">
        <f t="shared" si="4"/>
        <v>-1116.2740685847377</v>
      </c>
      <c r="O27" s="46">
        <f t="shared" si="4"/>
        <v>-1088.2597105371744</v>
      </c>
      <c r="P27" s="33"/>
      <c r="Q27" s="83">
        <f>Q26</f>
        <v>-5204.319438908009</v>
      </c>
    </row>
    <row r="28" spans="1:18" x14ac:dyDescent="0.25">
      <c r="B28" s="14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33"/>
      <c r="Q28" s="33"/>
    </row>
    <row r="29" spans="1:18" ht="15.75" thickBot="1" x14ac:dyDescent="0.3">
      <c r="B29" s="13" t="s">
        <v>28</v>
      </c>
      <c r="C29" s="47">
        <v>2000</v>
      </c>
      <c r="D29" s="41">
        <f>C29+C26+D26</f>
        <v>400.48000000000047</v>
      </c>
      <c r="E29" s="41">
        <f t="shared" ref="E29:O29" si="5">D29+E26</f>
        <v>482.19916666666745</v>
      </c>
      <c r="F29" s="41">
        <f t="shared" si="5"/>
        <v>580.42449652777873</v>
      </c>
      <c r="G29" s="41">
        <f t="shared" si="5"/>
        <v>695.18309859664464</v>
      </c>
      <c r="H29" s="41">
        <f t="shared" si="5"/>
        <v>721.50219484079753</v>
      </c>
      <c r="I29" s="41">
        <f t="shared" si="5"/>
        <v>759.4091206526341</v>
      </c>
      <c r="J29" s="41">
        <f t="shared" si="5"/>
        <v>798.9313253220198</v>
      </c>
      <c r="K29" s="41">
        <f t="shared" si="5"/>
        <v>850.09637251086133</v>
      </c>
      <c r="L29" s="41">
        <f t="shared" si="5"/>
        <v>852.93194072965616</v>
      </c>
      <c r="M29" s="41">
        <f t="shared" si="5"/>
        <v>867.46582381602934</v>
      </c>
      <c r="N29" s="41">
        <f t="shared" si="5"/>
        <v>883.72593141526227</v>
      </c>
      <c r="O29" s="42">
        <f t="shared" si="5"/>
        <v>911.74028946282556</v>
      </c>
      <c r="P29" s="33"/>
      <c r="Q29" s="33"/>
    </row>
    <row r="30" spans="1:18" x14ac:dyDescent="0.25">
      <c r="Q30" s="79" t="s">
        <v>40</v>
      </c>
    </row>
    <row r="31" spans="1:18" ht="15.75" thickBot="1" x14ac:dyDescent="0.3">
      <c r="B31" s="15" t="s">
        <v>36</v>
      </c>
      <c r="C31" s="26">
        <f>(C9-C23)/C23</f>
        <v>-0.9822983785314735</v>
      </c>
      <c r="D31" s="27">
        <f>(SUM(C9:D9)-SUM(C23:D23))/SUM(C23:D23)</f>
        <v>-0.49072256037698797</v>
      </c>
      <c r="E31" s="27">
        <f>(SUM(C9:E9)-SUM(C23:E23))/SUM(C23:E23)</f>
        <v>-0.31525829872843303</v>
      </c>
      <c r="F31" s="27">
        <f>(SUM(C9:F9)-SUM(C23:F23))/SUM(C23:F23)</f>
        <v>-0.22321761919608274</v>
      </c>
      <c r="G31" s="27">
        <f>(SUM(C9:G9)-SUM(C23:G23))/SUM(C23:G23)</f>
        <v>-0.16527280302065553</v>
      </c>
      <c r="H31" s="27">
        <f>(SUM(C9:H9)-SUM(C23:H23))/SUM(C23:H23)</f>
        <v>-0.1342192513396947</v>
      </c>
      <c r="I31" s="27">
        <f>(SUM(C9:I9)-SUM(C23:I23))/SUM(C23:I23)</f>
        <v>-0.11125229976317501</v>
      </c>
      <c r="J31" s="27">
        <f>(SUM(C9:J9)-SUM(C23:J23))/SUM(C23:J23)</f>
        <v>-9.3965298872565189E-2</v>
      </c>
      <c r="K31" s="27">
        <f>(SUM(C9:K9)-SUM(C23:K23))/SUM(C23:K23)</f>
        <v>-7.9809337503038771E-2</v>
      </c>
      <c r="L31" s="27">
        <f>(SUM(C9:L9)-SUM(C23:L23))/SUM(C23:L23)</f>
        <v>-7.1293330761151338E-2</v>
      </c>
      <c r="M31" s="27">
        <f>(SUM(C9:M9)-SUM(C23:M23))/SUM(C23:M23)</f>
        <v>-6.3747667733124305E-2</v>
      </c>
      <c r="N31" s="27">
        <f>(SUM(C9:N9)-SUM(C23:N23))/SUM(C23:N23)</f>
        <v>-5.7399176341232351E-2</v>
      </c>
      <c r="O31" s="28">
        <f>(SUM(C9:O9)-SUM(C23:O23))/SUM(C23:O23)</f>
        <v>-5.1516646269763308E-2</v>
      </c>
      <c r="P31" s="29"/>
      <c r="Q31" s="80">
        <f>(Q9-Q23)/Q23</f>
        <v>-0.22396816512980652</v>
      </c>
    </row>
  </sheetData>
  <mergeCells count="13">
    <mergeCell ref="A21:B21"/>
    <mergeCell ref="A4:B4"/>
    <mergeCell ref="A12:B12"/>
    <mergeCell ref="A13:B13"/>
    <mergeCell ref="A14:B14"/>
    <mergeCell ref="A15:B15"/>
    <mergeCell ref="A17:B17"/>
    <mergeCell ref="A18:B18"/>
    <mergeCell ref="A20:B20"/>
    <mergeCell ref="A5:B5"/>
    <mergeCell ref="A7:B7"/>
    <mergeCell ref="A16:B16"/>
    <mergeCell ref="A19:B19"/>
  </mergeCells>
  <conditionalFormatting sqref="C26:O26">
    <cfRule type="cellIs" dxfId="20" priority="4" operator="greaterThan">
      <formula>0</formula>
    </cfRule>
    <cfRule type="cellIs" dxfId="19" priority="8" operator="lessThan">
      <formula>0</formula>
    </cfRule>
    <cfRule type="cellIs" dxfId="18" priority="9" operator="greaterThan">
      <formula>0</formula>
    </cfRule>
  </conditionalFormatting>
  <conditionalFormatting sqref="P26">
    <cfRule type="cellIs" dxfId="17" priority="7" operator="greaterThan">
      <formula>0</formula>
    </cfRule>
  </conditionalFormatting>
  <conditionalFormatting sqref="P26:Q26">
    <cfRule type="cellIs" dxfId="16" priority="5" operator="lessThan">
      <formula>0</formula>
    </cfRule>
    <cfRule type="cellIs" dxfId="15" priority="6" operator="greaterThan">
      <formula>0</formula>
    </cfRule>
  </conditionalFormatting>
  <conditionalFormatting sqref="C27:O28">
    <cfRule type="cellIs" dxfId="14" priority="3" operator="greaterThan">
      <formula>0</formula>
    </cfRule>
  </conditionalFormatting>
  <pageMargins left="0.7" right="0.7" top="0.75" bottom="0.75" header="0.3" footer="0.3"/>
  <pageSetup orientation="landscape" horizontalDpi="4294967294" verticalDpi="4294967294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31"/>
  <sheetViews>
    <sheetView zoomScale="80" zoomScaleNormal="80" workbookViewId="0">
      <selection activeCell="B33" sqref="B33"/>
    </sheetView>
  </sheetViews>
  <sheetFormatPr defaultRowHeight="15" x14ac:dyDescent="0.25"/>
  <cols>
    <col min="2" max="2" width="22.140625" customWidth="1"/>
    <col min="3" max="3" width="12.28515625" customWidth="1"/>
    <col min="4" max="4" width="17.42578125" customWidth="1"/>
    <col min="5" max="5" width="13.7109375" customWidth="1"/>
    <col min="6" max="6" width="13.85546875" customWidth="1"/>
    <col min="7" max="7" width="14.140625" customWidth="1"/>
    <col min="8" max="8" width="22.5703125" customWidth="1"/>
    <col min="9" max="9" width="26" customWidth="1"/>
  </cols>
  <sheetData>
    <row r="1" spans="1:9" ht="23.25" x14ac:dyDescent="0.35">
      <c r="A1" s="10" t="s">
        <v>81</v>
      </c>
    </row>
    <row r="3" spans="1:9" x14ac:dyDescent="0.25">
      <c r="C3" s="3" t="s">
        <v>37</v>
      </c>
      <c r="D3" s="4" t="s">
        <v>29</v>
      </c>
      <c r="E3" s="4" t="s">
        <v>30</v>
      </c>
      <c r="F3" s="4" t="s">
        <v>31</v>
      </c>
      <c r="G3" s="5" t="s">
        <v>32</v>
      </c>
    </row>
    <row r="4" spans="1:9" x14ac:dyDescent="0.25">
      <c r="A4" s="140" t="s">
        <v>13</v>
      </c>
      <c r="B4" s="141"/>
      <c r="C4" s="11"/>
      <c r="D4" s="11"/>
      <c r="H4" s="6" t="s">
        <v>22</v>
      </c>
    </row>
    <row r="5" spans="1:9" x14ac:dyDescent="0.25">
      <c r="A5" s="150" t="s">
        <v>21</v>
      </c>
      <c r="B5" s="151"/>
      <c r="C5" s="17" t="s">
        <v>38</v>
      </c>
      <c r="D5" s="55">
        <f>'Financial Forecasting (Year 1)'!O5*(1+Dashboard!$D$8)+'Financial Forecasting (Year 1)'!O5*(1+Dashboard!$D$8)^2+'Financial Forecasting (Year 1)'!O5*(1+Dashboard!$D$8)^3</f>
        <v>5054.0085456883435</v>
      </c>
      <c r="E5" s="55">
        <f>'Financial Forecasting (Year 1)'!O5*(1+Dashboard!$D$8)^4+'Financial Forecasting (Year 1)'!O5*(1+Dashboard!$D$8)^5+'Financial Forecasting (Year 1)'!O5*(1+Dashboard!$D$8)^6</f>
        <v>5098.3602283725377</v>
      </c>
      <c r="F5" s="55">
        <f>'Financial Forecasting (Year 1)'!O5*(1+Dashboard!$D$8)^7+'Financial Forecasting (Year 1)'!O5*(1+Dashboard!$D$8)^8+'Financial Forecasting (Year 1)'!O5*(1+Dashboard!$D$8)^9</f>
        <v>5143.1011212725734</v>
      </c>
      <c r="G5" s="55">
        <f>'Financial Forecasting (Year 1)'!O5*(1+Dashboard!$D$8)^10+'Financial Forecasting (Year 1)'!O5*(1+Dashboard!$D$8)^11+'Financial Forecasting (Year 1)'!O5*(1+Dashboard!$D$8)^12</f>
        <v>5188.2346399204607</v>
      </c>
      <c r="H5" s="37">
        <f>SUM(D5:G5)</f>
        <v>20483.704535253913</v>
      </c>
      <c r="I5" s="2"/>
    </row>
    <row r="6" spans="1:9" x14ac:dyDescent="0.25">
      <c r="A6" s="61" t="s">
        <v>33</v>
      </c>
      <c r="B6" s="62"/>
      <c r="C6" s="19" t="s">
        <v>38</v>
      </c>
      <c r="D6" s="35">
        <v>20</v>
      </c>
      <c r="E6" s="35">
        <v>20</v>
      </c>
      <c r="F6" s="35">
        <v>20</v>
      </c>
      <c r="G6" s="35">
        <v>20</v>
      </c>
      <c r="H6" s="38">
        <f>SUM(D6:G6)</f>
        <v>80</v>
      </c>
      <c r="I6" s="2"/>
    </row>
    <row r="7" spans="1:9" x14ac:dyDescent="0.25">
      <c r="A7" s="152" t="s">
        <v>34</v>
      </c>
      <c r="B7" s="153"/>
      <c r="C7" s="20" t="s">
        <v>38</v>
      </c>
      <c r="D7" s="36">
        <v>100</v>
      </c>
      <c r="E7" s="36">
        <v>100</v>
      </c>
      <c r="F7" s="36">
        <v>100</v>
      </c>
      <c r="G7" s="36">
        <v>100</v>
      </c>
      <c r="H7" s="39">
        <f>SUM(D7:G7)</f>
        <v>400</v>
      </c>
      <c r="I7" s="2"/>
    </row>
    <row r="8" spans="1:9" x14ac:dyDescent="0.25">
      <c r="I8" s="7" t="s">
        <v>23</v>
      </c>
    </row>
    <row r="9" spans="1:9" x14ac:dyDescent="0.25">
      <c r="B9" s="6" t="s">
        <v>22</v>
      </c>
      <c r="C9" s="43">
        <f>'Financial Forecasting (Year 1)'!P9</f>
        <v>20036.168786585538</v>
      </c>
      <c r="D9" s="40">
        <f>SUM(D5:D7)</f>
        <v>5174.0085456883435</v>
      </c>
      <c r="E9" s="40">
        <f>SUM(E5:E7)</f>
        <v>5218.3602283725377</v>
      </c>
      <c r="F9" s="41">
        <f>SUM(F5:F7)</f>
        <v>5263.1011212725734</v>
      </c>
      <c r="G9" s="42">
        <f>SUM(G5:G7)</f>
        <v>5308.2346399204607</v>
      </c>
      <c r="H9" s="43">
        <f>SUM(H5:H7)</f>
        <v>20963.704535253913</v>
      </c>
      <c r="I9" s="115">
        <f>H9*Dashboard!G11</f>
        <v>18867.334081728524</v>
      </c>
    </row>
    <row r="10" spans="1:9" x14ac:dyDescent="0.25">
      <c r="B10" s="2"/>
      <c r="C10" s="2"/>
      <c r="D10" s="2"/>
      <c r="E10" s="1"/>
      <c r="F10" s="1"/>
      <c r="G10" s="1"/>
      <c r="H10" s="2"/>
    </row>
    <row r="11" spans="1:9" x14ac:dyDescent="0.25">
      <c r="C11" s="3" t="s">
        <v>37</v>
      </c>
      <c r="D11" s="4" t="s">
        <v>29</v>
      </c>
      <c r="E11" s="4" t="s">
        <v>30</v>
      </c>
      <c r="F11" s="4" t="s">
        <v>31</v>
      </c>
      <c r="G11" s="5" t="s">
        <v>32</v>
      </c>
    </row>
    <row r="12" spans="1:9" x14ac:dyDescent="0.25">
      <c r="A12" s="142" t="s">
        <v>12</v>
      </c>
      <c r="B12" s="143"/>
      <c r="C12" s="11"/>
      <c r="D12" s="11"/>
      <c r="H12" s="7" t="s">
        <v>22</v>
      </c>
      <c r="I12" s="2"/>
    </row>
    <row r="13" spans="1:9" x14ac:dyDescent="0.25">
      <c r="A13" s="144" t="s">
        <v>14</v>
      </c>
      <c r="B13" s="145"/>
      <c r="C13" s="16" t="s">
        <v>38</v>
      </c>
      <c r="D13" s="55">
        <f>Salaries!$H$16*3</f>
        <v>4364.2799999999988</v>
      </c>
      <c r="E13" s="55">
        <f>Salaries!$H$16*3</f>
        <v>4364.2799999999988</v>
      </c>
      <c r="F13" s="55">
        <f>Salaries!$H$16*3</f>
        <v>4364.2799999999988</v>
      </c>
      <c r="G13" s="55">
        <f>Salaries!$H$16*3</f>
        <v>4364.2799999999988</v>
      </c>
      <c r="H13" s="37">
        <f>SUM(D13:G13)</f>
        <v>17457.119999999995</v>
      </c>
      <c r="I13" s="2"/>
    </row>
    <row r="14" spans="1:9" x14ac:dyDescent="0.25">
      <c r="A14" s="146" t="s">
        <v>15</v>
      </c>
      <c r="B14" s="147"/>
      <c r="C14" s="18" t="s">
        <v>38</v>
      </c>
      <c r="D14" s="35">
        <v>60</v>
      </c>
      <c r="E14" s="35">
        <v>60</v>
      </c>
      <c r="F14" s="35">
        <v>60</v>
      </c>
      <c r="G14" s="35">
        <v>60</v>
      </c>
      <c r="H14" s="38">
        <f t="shared" ref="H14:H21" si="0">SUM(D14:G14)</f>
        <v>240</v>
      </c>
      <c r="I14" s="2"/>
    </row>
    <row r="15" spans="1:9" x14ac:dyDescent="0.25">
      <c r="A15" s="146" t="s">
        <v>16</v>
      </c>
      <c r="B15" s="147"/>
      <c r="C15" s="18" t="s">
        <v>38</v>
      </c>
      <c r="D15" s="35">
        <v>16</v>
      </c>
      <c r="E15" s="35">
        <v>16</v>
      </c>
      <c r="F15" s="35">
        <v>16</v>
      </c>
      <c r="G15" s="35">
        <v>16</v>
      </c>
      <c r="H15" s="38">
        <f t="shared" si="0"/>
        <v>64</v>
      </c>
      <c r="I15" s="2"/>
    </row>
    <row r="16" spans="1:9" x14ac:dyDescent="0.25">
      <c r="A16" s="146" t="s">
        <v>17</v>
      </c>
      <c r="B16" s="147"/>
      <c r="C16" s="18" t="s">
        <v>38</v>
      </c>
      <c r="D16" s="35">
        <v>20</v>
      </c>
      <c r="E16" s="35">
        <v>10</v>
      </c>
      <c r="F16" s="35">
        <v>20</v>
      </c>
      <c r="G16" s="35">
        <v>10</v>
      </c>
      <c r="H16" s="38">
        <f t="shared" si="0"/>
        <v>60</v>
      </c>
      <c r="I16" s="2"/>
    </row>
    <row r="17" spans="1:9" x14ac:dyDescent="0.25">
      <c r="A17" s="148" t="s">
        <v>19</v>
      </c>
      <c r="B17" s="149"/>
      <c r="C17" s="18" t="s">
        <v>38</v>
      </c>
      <c r="D17" s="56">
        <f>'Financial Forecasting (Year 1)'!O17*(1+Dashboard!$D$8)+'Financial Forecasting (Year 1)'!O17*(1+Dashboard!$D$8)^2+'Financial Forecasting (Year 1)'!O17*(1+Dashboard!$D$8)^3</f>
        <v>94.762660231656469</v>
      </c>
      <c r="E17" s="56">
        <f>'Financial Forecasting (Year 1)'!O17*(1+Dashboard!$D$8)^4+'Financial Forecasting (Year 1)'!O17*(1+Dashboard!$D$8)^5+'Financial Forecasting (Year 1)'!O17*(1+Dashboard!$D$8)^6</f>
        <v>95.594254281985116</v>
      </c>
      <c r="F17" s="56">
        <f>'Financial Forecasting (Year 1)'!O17*(1+Dashboard!$D$8)^7+'Financial Forecasting (Year 1)'!O17*(1+Dashboard!$D$8)^8+'Financial Forecasting (Year 1)'!O17*(1+Dashboard!$D$8)^9</f>
        <v>96.433146023860772</v>
      </c>
      <c r="G17" s="58">
        <f>'Financial Forecasting (Year 1)'!O17*(1+Dashboard!$D$8)^10+'Financial Forecasting (Year 1)'!O17*(1+Dashboard!$D$8)^11+'Financial Forecasting (Year 1)'!O17*(1+Dashboard!$D$8)^12</f>
        <v>97.279399498508653</v>
      </c>
      <c r="H17" s="63">
        <f t="shared" si="0"/>
        <v>384.06946003601104</v>
      </c>
      <c r="I17" s="2"/>
    </row>
    <row r="18" spans="1:9" x14ac:dyDescent="0.25">
      <c r="A18" s="148" t="s">
        <v>18</v>
      </c>
      <c r="B18" s="149"/>
      <c r="C18" s="18" t="s">
        <v>38</v>
      </c>
      <c r="D18" s="56">
        <f>'Financial Forecasting (Year 1)'!O18*(1+Dashboard!$D$8)+'Financial Forecasting (Year 1)'!O18*(1+Dashboard!$D$8)^2+'Financial Forecasting (Year 1)'!O18*(1+Dashboard!$D$8)^3</f>
        <v>47.381330115828234</v>
      </c>
      <c r="E18" s="56">
        <f>'Financial Forecasting (Year 1)'!O18*(1+Dashboard!$D$8)^4+'Financial Forecasting (Year 1)'!O18*(1+Dashboard!$D$8)^5+'Financial Forecasting (Year 1)'!O18*(1+Dashboard!$D$8)^6</f>
        <v>47.797127140992558</v>
      </c>
      <c r="F18" s="56">
        <f>'Financial Forecasting (Year 1)'!O18*(1+Dashboard!$D$8)^7+'Financial Forecasting (Year 1)'!O18*(1+Dashboard!$D$8)^8+'Financial Forecasting (Year 1)'!O18*(1+Dashboard!$D$8)^9</f>
        <v>48.216573011930386</v>
      </c>
      <c r="G18" s="56">
        <f>'Financial Forecasting (Year 1)'!O18*(1+Dashboard!$D$8)^10+'Financial Forecasting (Year 1)'!O18*(1+Dashboard!$D$8)^11+'Financial Forecasting (Year 1)'!O18*(1+Dashboard!$D$8)^12</f>
        <v>48.639699749254326</v>
      </c>
      <c r="H18" s="38">
        <f t="shared" si="0"/>
        <v>192.03473001800552</v>
      </c>
      <c r="I18" s="2"/>
    </row>
    <row r="19" spans="1:9" x14ac:dyDescent="0.25">
      <c r="A19" s="148" t="s">
        <v>79</v>
      </c>
      <c r="B19" s="149"/>
      <c r="C19" s="18" t="s">
        <v>38</v>
      </c>
      <c r="D19" s="56">
        <v>450</v>
      </c>
      <c r="E19" s="56">
        <v>450</v>
      </c>
      <c r="F19" s="56">
        <v>100</v>
      </c>
      <c r="G19" s="56">
        <v>0</v>
      </c>
      <c r="H19" s="38">
        <f t="shared" si="0"/>
        <v>1000</v>
      </c>
      <c r="I19" s="54"/>
    </row>
    <row r="20" spans="1:9" x14ac:dyDescent="0.25">
      <c r="A20" s="146" t="s">
        <v>20</v>
      </c>
      <c r="B20" s="147"/>
      <c r="C20" s="18" t="s">
        <v>38</v>
      </c>
      <c r="D20" s="35">
        <v>16</v>
      </c>
      <c r="E20" s="35">
        <v>16</v>
      </c>
      <c r="F20" s="35">
        <v>16</v>
      </c>
      <c r="G20" s="35">
        <v>16</v>
      </c>
      <c r="H20" s="38">
        <f t="shared" si="0"/>
        <v>64</v>
      </c>
      <c r="I20" s="2"/>
    </row>
    <row r="21" spans="1:9" x14ac:dyDescent="0.25">
      <c r="A21" s="138" t="s">
        <v>41</v>
      </c>
      <c r="B21" s="139"/>
      <c r="C21" s="21" t="s">
        <v>38</v>
      </c>
      <c r="D21" s="36">
        <v>8</v>
      </c>
      <c r="E21" s="36">
        <v>8</v>
      </c>
      <c r="F21" s="36">
        <v>8</v>
      </c>
      <c r="G21" s="36">
        <v>8</v>
      </c>
      <c r="H21" s="39">
        <f t="shared" si="0"/>
        <v>32</v>
      </c>
      <c r="I21" s="2"/>
    </row>
    <row r="22" spans="1:9" x14ac:dyDescent="0.25">
      <c r="I22" s="7" t="s">
        <v>23</v>
      </c>
    </row>
    <row r="23" spans="1:9" x14ac:dyDescent="0.25">
      <c r="B23" s="6" t="s">
        <v>22</v>
      </c>
      <c r="C23" s="48">
        <f>'Financial Forecasting (Year 1)'!P23</f>
        <v>21124.428497122717</v>
      </c>
      <c r="D23" s="40">
        <f>SUM(D13:D21)</f>
        <v>5076.4239903474836</v>
      </c>
      <c r="E23" s="40">
        <f>SUM(E13:E21)</f>
        <v>5067.6713814229761</v>
      </c>
      <c r="F23" s="41">
        <f>SUM(F13:F21)</f>
        <v>4728.9297190357902</v>
      </c>
      <c r="G23" s="42">
        <f>SUM(G13:G21)</f>
        <v>4620.1990992477622</v>
      </c>
      <c r="H23" s="43">
        <f>SUM(H13:H21)</f>
        <v>19493.22419005401</v>
      </c>
      <c r="I23" s="115">
        <f>H23*(1+(1-Dashboard!$G$11))</f>
        <v>21442.546609059413</v>
      </c>
    </row>
    <row r="24" spans="1:9" ht="15.75" thickBot="1" x14ac:dyDescent="0.3">
      <c r="B24" s="2"/>
      <c r="C24" s="18"/>
      <c r="D24" s="2"/>
      <c r="E24" s="2"/>
      <c r="F24" s="2"/>
      <c r="G24" s="2"/>
    </row>
    <row r="25" spans="1:9" ht="15.75" x14ac:dyDescent="0.25">
      <c r="H25" s="77" t="s">
        <v>24</v>
      </c>
      <c r="I25" s="77" t="s">
        <v>25</v>
      </c>
    </row>
    <row r="26" spans="1:9" ht="15.75" thickBot="1" x14ac:dyDescent="0.3">
      <c r="B26" s="6" t="s">
        <v>50</v>
      </c>
      <c r="C26" s="22" t="s">
        <v>38</v>
      </c>
      <c r="D26" s="49">
        <f>D9-D23</f>
        <v>97.584555340859879</v>
      </c>
      <c r="E26" s="49">
        <f>E9-E23</f>
        <v>150.68884694956159</v>
      </c>
      <c r="F26" s="49">
        <f>F9-F23</f>
        <v>534.17140223678325</v>
      </c>
      <c r="G26" s="49">
        <f>G9-G23</f>
        <v>688.03554067269852</v>
      </c>
      <c r="H26" s="78">
        <f>SUM(D26:G26)</f>
        <v>1470.4803451999032</v>
      </c>
      <c r="I26" s="81">
        <f>I9-I23</f>
        <v>-2575.2125273308884</v>
      </c>
    </row>
    <row r="27" spans="1:9" x14ac:dyDescent="0.25">
      <c r="B27" s="3" t="s">
        <v>35</v>
      </c>
      <c r="C27" s="50">
        <f>'Financial Forecasting (Year 1)'!O27</f>
        <v>-1088.2597105371744</v>
      </c>
      <c r="D27" s="45">
        <f>'Financial Forecasting (Year 1)'!O27+'Year 2'!D26</f>
        <v>-990.67515519631456</v>
      </c>
      <c r="E27" s="45">
        <f>D27+E26</f>
        <v>-839.98630824675297</v>
      </c>
      <c r="F27" s="45">
        <f>E27+F26</f>
        <v>-305.81490600996972</v>
      </c>
      <c r="G27" s="46">
        <f>F27+G26</f>
        <v>382.2206346627288</v>
      </c>
      <c r="I27" s="76">
        <f>'Financial Forecasting (Year 1)'!Q26+'Year 2'!I26</f>
        <v>-7779.5319662388974</v>
      </c>
    </row>
    <row r="28" spans="1:9" x14ac:dyDescent="0.25">
      <c r="B28" s="14"/>
      <c r="C28" s="14"/>
      <c r="D28" s="23"/>
      <c r="E28" s="23"/>
      <c r="F28" s="23"/>
      <c r="G28" s="23"/>
    </row>
    <row r="29" spans="1:9" ht="15.75" thickBot="1" x14ac:dyDescent="0.3">
      <c r="B29" s="15" t="s">
        <v>28</v>
      </c>
      <c r="C29" s="51">
        <f>'Financial Forecasting (Year 1)'!O29</f>
        <v>911.74028946282556</v>
      </c>
      <c r="D29" s="41">
        <f>'Financial Forecasting (Year 1)'!O29+'Year 2'!D26</f>
        <v>1009.3248448036854</v>
      </c>
      <c r="E29" s="41">
        <f>D29+E26</f>
        <v>1160.013691753247</v>
      </c>
      <c r="F29" s="41">
        <f>E29+F26</f>
        <v>1694.1850939900303</v>
      </c>
      <c r="G29" s="42">
        <f>F29+G26</f>
        <v>2382.220634662729</v>
      </c>
    </row>
    <row r="30" spans="1:9" x14ac:dyDescent="0.25">
      <c r="I30" s="79" t="s">
        <v>40</v>
      </c>
    </row>
    <row r="31" spans="1:9" ht="15.75" thickBot="1" x14ac:dyDescent="0.3">
      <c r="B31" s="3" t="s">
        <v>36</v>
      </c>
      <c r="C31" s="26">
        <f>'Financial Forecasting (Year 1)'!O31</f>
        <v>-5.1516646269763308E-2</v>
      </c>
      <c r="D31" s="27">
        <f>(SUM(C9:D9)-SUM(C23:D23))/SUM(C23:D23)</f>
        <v>-3.7810798548256488E-2</v>
      </c>
      <c r="E31" s="27">
        <f>(SUM(C9:E9)-SUM(C23:E23))/SUM(C23:E23)</f>
        <v>-2.6863638071588099E-2</v>
      </c>
      <c r="F31" s="27">
        <f>(SUM(C9:F9)-SUM(C23:F23))/SUM(C23:F23)</f>
        <v>-8.4954594152883058E-3</v>
      </c>
      <c r="G31" s="28">
        <f>(SUM(C9:G9)-SUM(C23:G23))/SUM(C23:G23)</f>
        <v>9.4102098318300364E-3</v>
      </c>
      <c r="H31" s="29"/>
      <c r="I31" s="80">
        <f>(SUM('Financial Forecasting (Year 1)'!Q9,I9)-SUM('Financial Forecasting (Year 1)'!Q23,I23))/SUM('Financial Forecasting (Year 1)'!Q23,I23)</f>
        <v>-0.17411891922850278</v>
      </c>
    </row>
  </sheetData>
  <mergeCells count="13">
    <mergeCell ref="A14:B14"/>
    <mergeCell ref="A21:B21"/>
    <mergeCell ref="A4:B4"/>
    <mergeCell ref="A5:B5"/>
    <mergeCell ref="A7:B7"/>
    <mergeCell ref="A12:B12"/>
    <mergeCell ref="A13:B13"/>
    <mergeCell ref="A15:B15"/>
    <mergeCell ref="A16:B16"/>
    <mergeCell ref="A17:B17"/>
    <mergeCell ref="A18:B18"/>
    <mergeCell ref="A20:B20"/>
    <mergeCell ref="A19:B19"/>
  </mergeCells>
  <conditionalFormatting sqref="D26:G26">
    <cfRule type="cellIs" dxfId="13" priority="5" operator="greaterThan">
      <formula>0</formula>
    </cfRule>
    <cfRule type="cellIs" dxfId="12" priority="6" operator="lessThan">
      <formula>0</formula>
    </cfRule>
    <cfRule type="cellIs" dxfId="11" priority="7" operator="greaterThan">
      <formula>0</formula>
    </cfRule>
  </conditionalFormatting>
  <conditionalFormatting sqref="D27:G28">
    <cfRule type="cellIs" dxfId="10" priority="4" operator="greaterThan">
      <formula>0</formula>
    </cfRule>
  </conditionalFormatting>
  <conditionalFormatting sqref="H26">
    <cfRule type="cellIs" dxfId="9" priority="3" operator="greaterThan">
      <formula>0</formula>
    </cfRule>
  </conditionalFormatting>
  <conditionalFormatting sqref="H26:I26">
    <cfRule type="cellIs" dxfId="8" priority="1" operator="lessThan">
      <formula>0</formula>
    </cfRule>
    <cfRule type="cellIs" dxfId="7" priority="2" operator="greaterThan">
      <formula>0</formula>
    </cfRule>
  </conditionalFormatting>
  <pageMargins left="0.7" right="0.7" top="0.75" bottom="0.75" header="0.3" footer="0.3"/>
  <pageSetup orientation="portrait" horizontalDpi="4294967294" verticalDpi="4294967294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33"/>
  <sheetViews>
    <sheetView zoomScale="80" zoomScaleNormal="80" workbookViewId="0">
      <selection activeCell="K26" sqref="K26"/>
    </sheetView>
  </sheetViews>
  <sheetFormatPr defaultRowHeight="15" x14ac:dyDescent="0.25"/>
  <cols>
    <col min="2" max="2" width="20.140625" customWidth="1"/>
    <col min="3" max="3" width="12.7109375" customWidth="1"/>
    <col min="4" max="4" width="14.7109375" customWidth="1"/>
    <col min="5" max="5" width="15.7109375" customWidth="1"/>
    <col min="6" max="6" width="13.7109375" customWidth="1"/>
    <col min="7" max="7" width="14.28515625" customWidth="1"/>
    <col min="8" max="8" width="21.5703125" customWidth="1"/>
    <col min="9" max="9" width="27.28515625" customWidth="1"/>
  </cols>
  <sheetData>
    <row r="1" spans="1:9" ht="23.25" x14ac:dyDescent="0.35">
      <c r="A1" s="10" t="s">
        <v>81</v>
      </c>
    </row>
    <row r="3" spans="1:9" x14ac:dyDescent="0.25">
      <c r="C3" s="3" t="s">
        <v>37</v>
      </c>
      <c r="D3" s="4" t="s">
        <v>29</v>
      </c>
      <c r="E3" s="4" t="s">
        <v>30</v>
      </c>
      <c r="F3" s="4" t="s">
        <v>31</v>
      </c>
      <c r="G3" s="5" t="s">
        <v>32</v>
      </c>
    </row>
    <row r="4" spans="1:9" x14ac:dyDescent="0.25">
      <c r="A4" s="140" t="s">
        <v>13</v>
      </c>
      <c r="B4" s="156"/>
      <c r="C4" s="11"/>
      <c r="D4" s="11"/>
      <c r="H4" s="6" t="s">
        <v>22</v>
      </c>
    </row>
    <row r="5" spans="1:9" x14ac:dyDescent="0.25">
      <c r="A5" s="150" t="s">
        <v>21</v>
      </c>
      <c r="B5" s="151"/>
      <c r="C5" s="17" t="s">
        <v>38</v>
      </c>
      <c r="D5" s="55">
        <f>'Financial Forecasting (Year 1)'!O5*(1+Dashboard!$E$8)^13+'Financial Forecasting (Year 1)'!O5*(1+Dashboard!$E$8)^14+'Financial Forecasting (Year 1)'!O5*(1+Dashboard!$E$8)^15</f>
        <v>5143.1661092808108</v>
      </c>
      <c r="E5" s="55">
        <f>'Financial Forecasting (Year 1)'!O5*(1+Dashboard!$E$8)^16+'Financial Forecasting (Year 1)'!O5*(1+Dashboard!$E$8)^17+'Financial Forecasting (Year 1)'!O5*(1+Dashboard!$E$8)^18</f>
        <v>5168.9248233557482</v>
      </c>
      <c r="F5" s="55">
        <f>'Financial Forecasting (Year 1)'!O5*(1+Dashboard!$E$8)^19+'Financial Forecasting (Year 1)'!O5*(1+Dashboard!$E$8)^20+'Financial Forecasting (Year 1)'!O5*(1+Dashboard!$E$8)^21</f>
        <v>5194.8125457762635</v>
      </c>
      <c r="G5" s="57">
        <f>'Financial Forecasting (Year 1)'!O5*(1+Dashboard!$E$8)^22+'Financial Forecasting (Year 1)'!O5*(1+Dashboard!$E$8)^23+'Financial Forecasting (Year 1)'!O5*(1+Dashboard!$E$8)^24</f>
        <v>5220.8299226597519</v>
      </c>
      <c r="H5" s="37">
        <f>SUM(D5:G5)</f>
        <v>20727.733401072575</v>
      </c>
      <c r="I5" s="2"/>
    </row>
    <row r="6" spans="1:9" x14ac:dyDescent="0.25">
      <c r="A6" s="61" t="s">
        <v>33</v>
      </c>
      <c r="B6" s="62"/>
      <c r="C6" s="19" t="s">
        <v>38</v>
      </c>
      <c r="D6" s="35">
        <v>20</v>
      </c>
      <c r="E6" s="35">
        <v>20</v>
      </c>
      <c r="F6" s="35">
        <v>20</v>
      </c>
      <c r="G6" s="35">
        <v>20</v>
      </c>
      <c r="H6" s="38">
        <f>SUM(D6:G6)</f>
        <v>80</v>
      </c>
      <c r="I6" s="2"/>
    </row>
    <row r="7" spans="1:9" x14ac:dyDescent="0.25">
      <c r="A7" s="152" t="s">
        <v>34</v>
      </c>
      <c r="B7" s="153"/>
      <c r="C7" s="20" t="s">
        <v>38</v>
      </c>
      <c r="D7" s="36">
        <v>100</v>
      </c>
      <c r="E7" s="36">
        <v>100</v>
      </c>
      <c r="F7" s="36">
        <v>100</v>
      </c>
      <c r="G7" s="36">
        <v>100</v>
      </c>
      <c r="H7" s="39">
        <f>SUM(D7:G7)</f>
        <v>400</v>
      </c>
      <c r="I7" s="2"/>
    </row>
    <row r="8" spans="1:9" x14ac:dyDescent="0.25">
      <c r="I8" s="7" t="s">
        <v>23</v>
      </c>
    </row>
    <row r="9" spans="1:9" x14ac:dyDescent="0.25">
      <c r="B9" s="3" t="s">
        <v>22</v>
      </c>
      <c r="C9" s="43">
        <f>'Year 2'!H9</f>
        <v>20963.704535253913</v>
      </c>
      <c r="D9" s="41">
        <f>SUM(D5:D7)</f>
        <v>5263.1661092808108</v>
      </c>
      <c r="E9" s="40">
        <f>SUM(E5:E7)</f>
        <v>5288.9248233557482</v>
      </c>
      <c r="F9" s="41">
        <f>SUM(F5:F7)</f>
        <v>5314.8125457762635</v>
      </c>
      <c r="G9" s="42">
        <f>SUM(G5:G7)</f>
        <v>5340.8299226597519</v>
      </c>
      <c r="H9" s="43">
        <f>SUM(H5:H7)</f>
        <v>21207.733401072575</v>
      </c>
      <c r="I9" s="115">
        <f>H9*Dashboard!G11</f>
        <v>19086.960060965317</v>
      </c>
    </row>
    <row r="10" spans="1:9" x14ac:dyDescent="0.25">
      <c r="B10" s="2"/>
      <c r="C10" s="2"/>
      <c r="D10" s="2"/>
      <c r="E10" s="1"/>
      <c r="F10" s="1"/>
      <c r="G10" s="1"/>
      <c r="H10" s="2"/>
    </row>
    <row r="11" spans="1:9" x14ac:dyDescent="0.25">
      <c r="C11" s="3" t="s">
        <v>37</v>
      </c>
      <c r="D11" s="4" t="s">
        <v>29</v>
      </c>
      <c r="E11" s="4" t="s">
        <v>30</v>
      </c>
      <c r="F11" s="4" t="s">
        <v>31</v>
      </c>
      <c r="G11" s="5" t="s">
        <v>32</v>
      </c>
    </row>
    <row r="12" spans="1:9" x14ac:dyDescent="0.25">
      <c r="A12" s="142" t="s">
        <v>12</v>
      </c>
      <c r="B12" s="157"/>
      <c r="C12" s="11"/>
      <c r="D12" s="11"/>
      <c r="H12" s="7" t="s">
        <v>22</v>
      </c>
      <c r="I12" s="2"/>
    </row>
    <row r="13" spans="1:9" x14ac:dyDescent="0.25">
      <c r="A13" s="144" t="s">
        <v>14</v>
      </c>
      <c r="B13" s="145"/>
      <c r="C13" s="17" t="s">
        <v>38</v>
      </c>
      <c r="D13" s="55">
        <f>Salaries!$H$16*3</f>
        <v>4364.2799999999988</v>
      </c>
      <c r="E13" s="55">
        <f>Salaries!$H$16*3</f>
        <v>4364.2799999999988</v>
      </c>
      <c r="F13" s="55">
        <f>Salaries!$H$16*3</f>
        <v>4364.2799999999988</v>
      </c>
      <c r="G13" s="55">
        <f>Salaries!$H$16*3</f>
        <v>4364.2799999999988</v>
      </c>
      <c r="H13" s="37">
        <f>SUM(D13:G13)</f>
        <v>17457.119999999995</v>
      </c>
      <c r="I13" s="2"/>
    </row>
    <row r="14" spans="1:9" x14ac:dyDescent="0.25">
      <c r="A14" s="146" t="s">
        <v>15</v>
      </c>
      <c r="B14" s="147"/>
      <c r="C14" s="19" t="s">
        <v>38</v>
      </c>
      <c r="D14" s="35">
        <v>60</v>
      </c>
      <c r="E14" s="35">
        <v>60</v>
      </c>
      <c r="F14" s="35">
        <v>80</v>
      </c>
      <c r="G14" s="52">
        <v>80</v>
      </c>
      <c r="H14" s="38">
        <f t="shared" ref="H14:H21" si="0">SUM(D14:G14)</f>
        <v>280</v>
      </c>
      <c r="I14" s="2"/>
    </row>
    <row r="15" spans="1:9" x14ac:dyDescent="0.25">
      <c r="A15" s="146" t="s">
        <v>16</v>
      </c>
      <c r="B15" s="147"/>
      <c r="C15" s="19" t="s">
        <v>38</v>
      </c>
      <c r="D15" s="35">
        <v>16</v>
      </c>
      <c r="E15" s="35">
        <v>16</v>
      </c>
      <c r="F15" s="35">
        <v>16</v>
      </c>
      <c r="G15" s="52">
        <v>16</v>
      </c>
      <c r="H15" s="38">
        <f t="shared" si="0"/>
        <v>64</v>
      </c>
      <c r="I15" s="2"/>
    </row>
    <row r="16" spans="1:9" x14ac:dyDescent="0.25">
      <c r="A16" s="146" t="s">
        <v>17</v>
      </c>
      <c r="B16" s="147"/>
      <c r="C16" s="19" t="s">
        <v>38</v>
      </c>
      <c r="D16" s="35">
        <v>20</v>
      </c>
      <c r="E16" s="35">
        <v>10</v>
      </c>
      <c r="F16" s="35">
        <v>20</v>
      </c>
      <c r="G16" s="52">
        <v>10</v>
      </c>
      <c r="H16" s="38">
        <f t="shared" si="0"/>
        <v>60</v>
      </c>
      <c r="I16" s="2"/>
    </row>
    <row r="17" spans="1:9" x14ac:dyDescent="0.25">
      <c r="A17" s="148" t="s">
        <v>19</v>
      </c>
      <c r="B17" s="149"/>
      <c r="C17" s="19" t="s">
        <v>38</v>
      </c>
      <c r="D17" s="56">
        <f>'Financial Forecasting (Year 1)'!O17*(1+Dashboard!$D$8)^13+'Financial Forecasting (Year 1)'!O17*(1+Dashboard!$D$8)^14+'Financial Forecasting (Year 1)'!O17*(1+Dashboard!$D$8)^15</f>
        <v>98.133079309150787</v>
      </c>
      <c r="E17" s="56">
        <f>'Financial Forecasting (Year 1)'!O17*(1+Dashboard!$D$8)^16+'Financial Forecasting (Year 1)'!O17*(1+Dashboard!$D$8)^17+'Financial Forecasting (Year 1)'!O17*(1+Dashboard!$D$8)^18</f>
        <v>98.99425062593761</v>
      </c>
      <c r="F17" s="56">
        <f>'Financial Forecasting (Year 1)'!O17*(1+Dashboard!$D$8)^19+'Financial Forecasting (Year 1)'!O17*(1+Dashboard!$D$8)^20+'Financial Forecasting (Year 1)'!O17*(1+Dashboard!$D$8)^21</f>
        <v>99.862979190923312</v>
      </c>
      <c r="G17" s="58">
        <f>'Financial Forecasting (Year 1)'!O17*(1+Dashboard!$D$8)^22+'Financial Forecasting (Year 1)'!O17*(1+Dashboard!$D$8)^23+'Financial Forecasting (Year 1)'!O17*(1+Dashboard!$D$8)^24</f>
        <v>100.73933132308437</v>
      </c>
      <c r="H17" s="63">
        <f t="shared" si="0"/>
        <v>397.72964044909611</v>
      </c>
      <c r="I17" s="2"/>
    </row>
    <row r="18" spans="1:9" x14ac:dyDescent="0.25">
      <c r="A18" s="148" t="s">
        <v>18</v>
      </c>
      <c r="B18" s="149"/>
      <c r="C18" s="19" t="s">
        <v>38</v>
      </c>
      <c r="D18" s="56">
        <f>'Financial Forecasting (Year 1)'!O18*(1+Dashboard!$D$8)^13+'Financial Forecasting (Year 1)'!O18*(1+Dashboard!$D$8)^14+'Financial Forecasting (Year 1)'!O18*(1+Dashboard!$D$8)^15</f>
        <v>49.066539654575394</v>
      </c>
      <c r="E18" s="56">
        <f>'Financial Forecasting (Year 1)'!O18*(1+Dashboard!$D$8)^16+'Financial Forecasting (Year 1)'!O18*(1+Dashboard!$D$8)^17+'Financial Forecasting (Year 1)'!O18*(1+Dashboard!$D$8)^18</f>
        <v>49.497125312968805</v>
      </c>
      <c r="F18" s="56">
        <f>'Financial Forecasting (Year 1)'!O18*(1+Dashboard!$D$8)^19+'Financial Forecasting (Year 1)'!O18*(1+Dashboard!$D$8)^20+'Financial Forecasting (Year 1)'!O18*(1+Dashboard!$D$8)^21</f>
        <v>49.931489595461656</v>
      </c>
      <c r="G18" s="58">
        <f>'Financial Forecasting (Year 1)'!O18*(1+Dashboard!$D$8)^22+'Financial Forecasting (Year 1)'!O18*(1+Dashboard!$D$8)^23+'Financial Forecasting (Year 1)'!O18*(1+Dashboard!$D$8)^24</f>
        <v>50.369665661542186</v>
      </c>
      <c r="H18" s="63">
        <f t="shared" si="0"/>
        <v>198.86482022454805</v>
      </c>
      <c r="I18" s="2"/>
    </row>
    <row r="19" spans="1:9" x14ac:dyDescent="0.25">
      <c r="A19" s="59" t="s">
        <v>79</v>
      </c>
      <c r="B19" s="60"/>
      <c r="C19" s="19"/>
      <c r="D19" s="56">
        <v>0</v>
      </c>
      <c r="E19" s="56">
        <v>0</v>
      </c>
      <c r="F19" s="56">
        <v>0</v>
      </c>
      <c r="G19" s="58">
        <v>0</v>
      </c>
      <c r="H19" s="63">
        <f t="shared" si="0"/>
        <v>0</v>
      </c>
      <c r="I19" s="54"/>
    </row>
    <row r="20" spans="1:9" x14ac:dyDescent="0.25">
      <c r="A20" s="146" t="s">
        <v>20</v>
      </c>
      <c r="B20" s="147"/>
      <c r="C20" s="19" t="s">
        <v>38</v>
      </c>
      <c r="D20" s="35">
        <v>16</v>
      </c>
      <c r="E20" s="35">
        <v>16</v>
      </c>
      <c r="F20" s="35">
        <v>16</v>
      </c>
      <c r="G20" s="52">
        <v>16</v>
      </c>
      <c r="H20" s="38">
        <f t="shared" si="0"/>
        <v>64</v>
      </c>
      <c r="I20" s="2"/>
    </row>
    <row r="21" spans="1:9" x14ac:dyDescent="0.25">
      <c r="A21" s="138" t="s">
        <v>41</v>
      </c>
      <c r="B21" s="139"/>
      <c r="C21" s="20" t="s">
        <v>38</v>
      </c>
      <c r="D21" s="36">
        <v>8</v>
      </c>
      <c r="E21" s="36">
        <v>8</v>
      </c>
      <c r="F21" s="36">
        <v>8</v>
      </c>
      <c r="G21" s="53">
        <v>8</v>
      </c>
      <c r="H21" s="39">
        <f t="shared" si="0"/>
        <v>32</v>
      </c>
      <c r="I21" s="2"/>
    </row>
    <row r="22" spans="1:9" x14ac:dyDescent="0.25">
      <c r="I22" s="7" t="s">
        <v>23</v>
      </c>
    </row>
    <row r="23" spans="1:9" x14ac:dyDescent="0.25">
      <c r="B23" s="3" t="s">
        <v>22</v>
      </c>
      <c r="C23" s="48">
        <f>'Year 2'!H23</f>
        <v>19493.22419005401</v>
      </c>
      <c r="D23" s="41">
        <f>SUM(D13:D21)</f>
        <v>4631.4796189637254</v>
      </c>
      <c r="E23" s="40">
        <f>SUM(E13:E21)</f>
        <v>4622.7713759389053</v>
      </c>
      <c r="F23" s="41">
        <f>SUM(F13:F21)</f>
        <v>4654.0744687863835</v>
      </c>
      <c r="G23" s="42">
        <f>SUM(G13:G21)</f>
        <v>4645.388996984625</v>
      </c>
      <c r="H23" s="43">
        <f>SUM(H13:H21)</f>
        <v>18553.71446067364</v>
      </c>
      <c r="I23" s="115">
        <f>H23*(1+(1-Dashboard!$G$11))</f>
        <v>20409.085906741006</v>
      </c>
    </row>
    <row r="24" spans="1:9" ht="15.75" thickBot="1" x14ac:dyDescent="0.3">
      <c r="B24" s="2"/>
      <c r="C24" s="18"/>
      <c r="D24" s="2"/>
      <c r="E24" s="2"/>
      <c r="F24" s="2"/>
      <c r="G24" s="2"/>
    </row>
    <row r="25" spans="1:9" ht="15.75" x14ac:dyDescent="0.25">
      <c r="H25" s="77" t="s">
        <v>24</v>
      </c>
      <c r="I25" s="77" t="s">
        <v>25</v>
      </c>
    </row>
    <row r="26" spans="1:9" ht="15.75" thickBot="1" x14ac:dyDescent="0.3">
      <c r="B26" s="3" t="s">
        <v>50</v>
      </c>
      <c r="C26" s="22" t="s">
        <v>38</v>
      </c>
      <c r="D26" s="41">
        <f>D9-D23</f>
        <v>631.68649031708537</v>
      </c>
      <c r="E26" s="41">
        <f>E9-E23</f>
        <v>666.15344741684294</v>
      </c>
      <c r="F26" s="41">
        <f>F9-F23</f>
        <v>660.73807698988003</v>
      </c>
      <c r="G26" s="41">
        <f>G9-G23</f>
        <v>695.44092567512689</v>
      </c>
      <c r="H26" s="78">
        <f>SUM(D26:G26)</f>
        <v>2654.0189403989352</v>
      </c>
      <c r="I26" s="81">
        <f>I9-I23</f>
        <v>-1322.1258457756885</v>
      </c>
    </row>
    <row r="27" spans="1:9" x14ac:dyDescent="0.25">
      <c r="B27" s="3" t="s">
        <v>35</v>
      </c>
      <c r="C27" s="50">
        <f>'Year 2'!G27</f>
        <v>382.2206346627288</v>
      </c>
      <c r="D27" s="45">
        <f>C27+D26</f>
        <v>1013.9071249798142</v>
      </c>
      <c r="E27" s="45">
        <f>D27+E26</f>
        <v>1680.0605723966571</v>
      </c>
      <c r="F27" s="45">
        <f>E27+F26</f>
        <v>2340.7986493865374</v>
      </c>
      <c r="G27" s="46">
        <f>F27+G26</f>
        <v>3036.2395750616643</v>
      </c>
      <c r="I27" s="76">
        <f>'Year 2'!I27+'Year 3'!I26</f>
        <v>-9101.6578120145859</v>
      </c>
    </row>
    <row r="28" spans="1:9" x14ac:dyDescent="0.25">
      <c r="B28" s="14"/>
      <c r="C28" s="14"/>
      <c r="D28" s="12"/>
      <c r="E28" s="12"/>
      <c r="F28" s="12"/>
      <c r="G28" s="12"/>
    </row>
    <row r="29" spans="1:9" ht="15.75" thickBot="1" x14ac:dyDescent="0.3">
      <c r="B29" s="15" t="s">
        <v>28</v>
      </c>
      <c r="C29" s="51">
        <f>'Year 2'!G29</f>
        <v>2382.220634662729</v>
      </c>
      <c r="D29" s="41">
        <f>'Year 2'!G29+'Year 3'!D26</f>
        <v>3013.9071249798144</v>
      </c>
      <c r="E29" s="41">
        <f>D29+E26</f>
        <v>3680.0605723966573</v>
      </c>
      <c r="F29" s="41">
        <f>E29+F26</f>
        <v>4340.7986493865374</v>
      </c>
      <c r="G29" s="42">
        <f>F29+G26</f>
        <v>5036.2395750616643</v>
      </c>
    </row>
    <row r="30" spans="1:9" x14ac:dyDescent="0.25">
      <c r="I30" s="79" t="s">
        <v>40</v>
      </c>
    </row>
    <row r="31" spans="1:9" ht="15.75" thickBot="1" x14ac:dyDescent="0.3">
      <c r="B31" s="3" t="s">
        <v>36</v>
      </c>
      <c r="C31" s="24">
        <f>'Year 2'!G31</f>
        <v>9.4102098318300364E-3</v>
      </c>
      <c r="D31" s="25">
        <f>(SUM(C9:D9)-SUM(C23:D23))/SUM(C23:D23)</f>
        <v>8.7137518958106452E-2</v>
      </c>
      <c r="E31" s="25">
        <f>(SUM(C9:E9)-SUM(C23:E23))/SUM(C23:E23)</f>
        <v>9.6297857990063518E-2</v>
      </c>
      <c r="F31" s="25">
        <f>(SUM(C9:F9)-SUM(C23:F23))/SUM(C23:F23)</f>
        <v>0.10266165478760801</v>
      </c>
      <c r="G31" s="25">
        <f>(SUM(C9:G9)-SUM(C23:G23))/SUM(C23:G23)</f>
        <v>0.10840554935212789</v>
      </c>
      <c r="H31" s="31"/>
      <c r="I31" s="82">
        <f>(SUM('Financial Forecasting (Year 1)'!Q9,'Year 2'!I9,I9)-SUM('Financial Forecasting (Year 1)'!Q23,'Year 2'!I23,I23))/SUM('Financial Forecasting (Year 1)'!Q23,'Year 2'!I23,I23)</f>
        <v>-0.13983510561593149</v>
      </c>
    </row>
    <row r="32" spans="1:9" ht="15.75" thickBot="1" x14ac:dyDescent="0.3"/>
    <row r="33" spans="2:9" ht="15.75" thickBot="1" x14ac:dyDescent="0.3">
      <c r="B33" s="6" t="s">
        <v>82</v>
      </c>
      <c r="I33" s="135">
        <f>NPV(2,'Year 2'!I26,I26)</f>
        <v>-1005.3070475298172</v>
      </c>
    </row>
  </sheetData>
  <mergeCells count="12">
    <mergeCell ref="A14:B14"/>
    <mergeCell ref="A21:B21"/>
    <mergeCell ref="A4:B4"/>
    <mergeCell ref="A5:B5"/>
    <mergeCell ref="A7:B7"/>
    <mergeCell ref="A12:B12"/>
    <mergeCell ref="A13:B13"/>
    <mergeCell ref="A15:B15"/>
    <mergeCell ref="A16:B16"/>
    <mergeCell ref="A17:B17"/>
    <mergeCell ref="A18:B18"/>
    <mergeCell ref="A20:B20"/>
  </mergeCells>
  <conditionalFormatting sqref="D26:G26">
    <cfRule type="cellIs" dxfId="6" priority="5" operator="greaterThan">
      <formula>0</formula>
    </cfRule>
    <cfRule type="cellIs" dxfId="5" priority="6" operator="lessThan">
      <formula>0</formula>
    </cfRule>
    <cfRule type="cellIs" dxfId="4" priority="7" operator="greaterThan">
      <formula>0</formula>
    </cfRule>
  </conditionalFormatting>
  <conditionalFormatting sqref="D27:G28">
    <cfRule type="cellIs" dxfId="3" priority="4" operator="greaterThan">
      <formula>0</formula>
    </cfRule>
  </conditionalFormatting>
  <conditionalFormatting sqref="H26">
    <cfRule type="cellIs" dxfId="2" priority="3" operator="greaterThan">
      <formula>0</formula>
    </cfRule>
  </conditionalFormatting>
  <conditionalFormatting sqref="H26:I26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8"/>
  <sheetViews>
    <sheetView tabSelected="1" zoomScale="90" zoomScaleNormal="90" workbookViewId="0">
      <selection activeCell="R11" sqref="R11"/>
    </sheetView>
  </sheetViews>
  <sheetFormatPr defaultRowHeight="15" x14ac:dyDescent="0.25"/>
  <sheetData>
    <row r="1" spans="1:2" x14ac:dyDescent="0.25">
      <c r="A1" t="s">
        <v>42</v>
      </c>
      <c r="B1" t="s">
        <v>43</v>
      </c>
    </row>
    <row r="2" spans="1:2" x14ac:dyDescent="0.25">
      <c r="A2">
        <v>-1</v>
      </c>
      <c r="B2" s="30">
        <f>'Financial Forecasting (Year 1)'!C31</f>
        <v>-0.9822983785314735</v>
      </c>
    </row>
    <row r="3" spans="1:2" x14ac:dyDescent="0.25">
      <c r="A3">
        <v>0</v>
      </c>
      <c r="B3" s="30">
        <f>'Financial Forecasting (Year 1)'!D31</f>
        <v>-0.49072256037698797</v>
      </c>
    </row>
    <row r="4" spans="1:2" x14ac:dyDescent="0.25">
      <c r="A4">
        <v>1</v>
      </c>
      <c r="B4" s="30">
        <f>'Financial Forecasting (Year 1)'!E31</f>
        <v>-0.31525829872843303</v>
      </c>
    </row>
    <row r="5" spans="1:2" x14ac:dyDescent="0.25">
      <c r="A5">
        <v>2</v>
      </c>
      <c r="B5" s="30">
        <f>'Financial Forecasting (Year 1)'!F31</f>
        <v>-0.22321761919608274</v>
      </c>
    </row>
    <row r="6" spans="1:2" x14ac:dyDescent="0.25">
      <c r="A6">
        <v>3</v>
      </c>
      <c r="B6" s="30">
        <f>'Financial Forecasting (Year 1)'!G31</f>
        <v>-0.16527280302065553</v>
      </c>
    </row>
    <row r="7" spans="1:2" x14ac:dyDescent="0.25">
      <c r="A7">
        <v>4</v>
      </c>
      <c r="B7" s="30">
        <f>'Financial Forecasting (Year 1)'!H31</f>
        <v>-0.1342192513396947</v>
      </c>
    </row>
    <row r="8" spans="1:2" x14ac:dyDescent="0.25">
      <c r="A8">
        <v>5</v>
      </c>
      <c r="B8" s="30">
        <f>'Financial Forecasting (Year 1)'!I31</f>
        <v>-0.11125229976317501</v>
      </c>
    </row>
    <row r="9" spans="1:2" x14ac:dyDescent="0.25">
      <c r="A9">
        <v>6</v>
      </c>
      <c r="B9" s="30">
        <f>'Financial Forecasting (Year 1)'!J31</f>
        <v>-9.3965298872565189E-2</v>
      </c>
    </row>
    <row r="10" spans="1:2" x14ac:dyDescent="0.25">
      <c r="A10">
        <v>7</v>
      </c>
      <c r="B10" s="30">
        <f>'Financial Forecasting (Year 1)'!K31</f>
        <v>-7.9809337503038771E-2</v>
      </c>
    </row>
    <row r="11" spans="1:2" x14ac:dyDescent="0.25">
      <c r="A11">
        <v>8</v>
      </c>
      <c r="B11" s="30">
        <f>'Financial Forecasting (Year 1)'!L31</f>
        <v>-7.1293330761151338E-2</v>
      </c>
    </row>
    <row r="12" spans="1:2" x14ac:dyDescent="0.25">
      <c r="A12">
        <v>9</v>
      </c>
      <c r="B12" s="30">
        <f>'Financial Forecasting (Year 1)'!M31</f>
        <v>-6.3747667733124305E-2</v>
      </c>
    </row>
    <row r="13" spans="1:2" x14ac:dyDescent="0.25">
      <c r="A13">
        <v>10</v>
      </c>
      <c r="B13" s="30">
        <f>'Financial Forecasting (Year 1)'!N31</f>
        <v>-5.7399176341232351E-2</v>
      </c>
    </row>
    <row r="14" spans="1:2" x14ac:dyDescent="0.25">
      <c r="A14">
        <v>11</v>
      </c>
      <c r="B14" s="30">
        <f>'Financial Forecasting (Year 1)'!O31</f>
        <v>-5.1516646269763308E-2</v>
      </c>
    </row>
    <row r="15" spans="1:2" x14ac:dyDescent="0.25">
      <c r="A15">
        <v>12</v>
      </c>
      <c r="B15" s="30">
        <f>'Year 2'!D31</f>
        <v>-3.7810798548256488E-2</v>
      </c>
    </row>
    <row r="16" spans="1:2" x14ac:dyDescent="0.25">
      <c r="A16">
        <v>13</v>
      </c>
      <c r="B16" s="30">
        <f>'Year 2'!D31</f>
        <v>-3.7810798548256488E-2</v>
      </c>
    </row>
    <row r="17" spans="1:2" x14ac:dyDescent="0.25">
      <c r="A17">
        <v>14</v>
      </c>
      <c r="B17" s="30">
        <f>'Year 2'!D31</f>
        <v>-3.7810798548256488E-2</v>
      </c>
    </row>
    <row r="18" spans="1:2" x14ac:dyDescent="0.25">
      <c r="A18">
        <v>15</v>
      </c>
      <c r="B18" s="30">
        <f>'Year 2'!E31</f>
        <v>-2.6863638071588099E-2</v>
      </c>
    </row>
    <row r="19" spans="1:2" x14ac:dyDescent="0.25">
      <c r="A19">
        <v>16</v>
      </c>
      <c r="B19" s="30">
        <f>'Year 2'!E31</f>
        <v>-2.6863638071588099E-2</v>
      </c>
    </row>
    <row r="20" spans="1:2" x14ac:dyDescent="0.25">
      <c r="A20">
        <v>17</v>
      </c>
      <c r="B20" s="30">
        <f>'Year 2'!E31</f>
        <v>-2.6863638071588099E-2</v>
      </c>
    </row>
    <row r="21" spans="1:2" x14ac:dyDescent="0.25">
      <c r="A21">
        <v>18</v>
      </c>
      <c r="B21" s="30">
        <f>'Year 2'!F31</f>
        <v>-8.4954594152883058E-3</v>
      </c>
    </row>
    <row r="22" spans="1:2" x14ac:dyDescent="0.25">
      <c r="A22">
        <v>19</v>
      </c>
      <c r="B22" s="30">
        <f>'Year 2'!F31</f>
        <v>-8.4954594152883058E-3</v>
      </c>
    </row>
    <row r="23" spans="1:2" x14ac:dyDescent="0.25">
      <c r="A23">
        <v>20</v>
      </c>
      <c r="B23" s="30">
        <f>'Year 2'!F31</f>
        <v>-8.4954594152883058E-3</v>
      </c>
    </row>
    <row r="24" spans="1:2" x14ac:dyDescent="0.25">
      <c r="A24">
        <v>21</v>
      </c>
      <c r="B24" s="30">
        <f>'Year 2'!G31</f>
        <v>9.4102098318300364E-3</v>
      </c>
    </row>
    <row r="25" spans="1:2" x14ac:dyDescent="0.25">
      <c r="A25">
        <v>22</v>
      </c>
      <c r="B25" s="30">
        <f>'Year 2'!G31</f>
        <v>9.4102098318300364E-3</v>
      </c>
    </row>
    <row r="26" spans="1:2" x14ac:dyDescent="0.25">
      <c r="A26">
        <v>23</v>
      </c>
      <c r="B26" s="30">
        <f>'Year 2'!G31</f>
        <v>9.4102098318300364E-3</v>
      </c>
    </row>
    <row r="27" spans="1:2" x14ac:dyDescent="0.25">
      <c r="A27">
        <v>24</v>
      </c>
      <c r="B27" s="32">
        <f>'Year 3'!D31</f>
        <v>8.7137518958106452E-2</v>
      </c>
    </row>
    <row r="28" spans="1:2" x14ac:dyDescent="0.25">
      <c r="A28">
        <v>25</v>
      </c>
      <c r="B28" s="32">
        <f>'Year 3'!D31</f>
        <v>8.7137518958106452E-2</v>
      </c>
    </row>
    <row r="29" spans="1:2" x14ac:dyDescent="0.25">
      <c r="A29">
        <v>26</v>
      </c>
      <c r="B29" s="32">
        <f>'Year 3'!D31</f>
        <v>8.7137518958106452E-2</v>
      </c>
    </row>
    <row r="30" spans="1:2" x14ac:dyDescent="0.25">
      <c r="A30">
        <v>27</v>
      </c>
      <c r="B30" s="32">
        <f>'Year 3'!E31</f>
        <v>9.6297857990063518E-2</v>
      </c>
    </row>
    <row r="31" spans="1:2" x14ac:dyDescent="0.25">
      <c r="A31">
        <v>28</v>
      </c>
      <c r="B31" s="32">
        <f>'Year 3'!E31</f>
        <v>9.6297857990063518E-2</v>
      </c>
    </row>
    <row r="32" spans="1:2" x14ac:dyDescent="0.25">
      <c r="A32">
        <v>29</v>
      </c>
      <c r="B32" s="32">
        <f>'Year 3'!E31</f>
        <v>9.6297857990063518E-2</v>
      </c>
    </row>
    <row r="33" spans="1:2" x14ac:dyDescent="0.25">
      <c r="A33">
        <v>30</v>
      </c>
      <c r="B33" s="32">
        <f>'Year 3'!F31</f>
        <v>0.10266165478760801</v>
      </c>
    </row>
    <row r="34" spans="1:2" x14ac:dyDescent="0.25">
      <c r="A34">
        <v>31</v>
      </c>
      <c r="B34" s="32">
        <f>'Year 3'!F31</f>
        <v>0.10266165478760801</v>
      </c>
    </row>
    <row r="35" spans="1:2" x14ac:dyDescent="0.25">
      <c r="A35">
        <v>32</v>
      </c>
      <c r="B35" s="32">
        <f>'Year 3'!F31</f>
        <v>0.10266165478760801</v>
      </c>
    </row>
    <row r="36" spans="1:2" x14ac:dyDescent="0.25">
      <c r="A36">
        <v>33</v>
      </c>
      <c r="B36" s="32">
        <f>'Year 3'!G31</f>
        <v>0.10840554935212789</v>
      </c>
    </row>
    <row r="37" spans="1:2" x14ac:dyDescent="0.25">
      <c r="A37">
        <v>34</v>
      </c>
      <c r="B37" s="32">
        <f>'Year 3'!G31</f>
        <v>0.10840554935212789</v>
      </c>
    </row>
    <row r="38" spans="1:2" x14ac:dyDescent="0.25">
      <c r="A38">
        <v>35</v>
      </c>
      <c r="B38" s="32">
        <f>'Year 3'!G31</f>
        <v>0.10840554935212789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Dashboard</vt:lpstr>
      <vt:lpstr>Salaries</vt:lpstr>
      <vt:lpstr>Financial Forecasting (Year 1)</vt:lpstr>
      <vt:lpstr>Year 2</vt:lpstr>
      <vt:lpstr>Year 3</vt:lpstr>
      <vt:lpstr>ROI Graph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CADETADMIN</dc:creator>
  <cp:lastModifiedBy>Gary Scheer</cp:lastModifiedBy>
  <cp:lastPrinted>2017-01-25T17:36:28Z</cp:lastPrinted>
  <dcterms:created xsi:type="dcterms:W3CDTF">2017-01-19T19:46:48Z</dcterms:created>
  <dcterms:modified xsi:type="dcterms:W3CDTF">2017-11-16T16:19:36Z</dcterms:modified>
</cp:coreProperties>
</file>